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70" yWindow="465" windowWidth="14370" windowHeight="8355"/>
  </bookViews>
  <sheets>
    <sheet name="ПДЗ" sheetId="1" r:id="rId1"/>
    <sheet name="Лист1" sheetId="2" r:id="rId2"/>
  </sheets>
  <definedNames>
    <definedName name="_xlnm._FilterDatabase" localSheetId="0" hidden="1">ПДЗ!$A$28:$AO$195</definedName>
    <definedName name="_xlnm.Print_Titles" localSheetId="0">ПДЗ!$25:$28</definedName>
    <definedName name="_xlnm.Print_Area" localSheetId="0">ПДЗ!$A$1:$Y$197</definedName>
  </definedNames>
  <calcPr calcId="145621"/>
  <fileRecoveryPr autoRecover="0"/>
</workbook>
</file>

<file path=xl/calcChain.xml><?xml version="1.0" encoding="utf-8"?>
<calcChain xmlns="http://schemas.openxmlformats.org/spreadsheetml/2006/main">
  <c r="U192" i="1" l="1"/>
  <c r="V192" i="1" s="1"/>
  <c r="U193" i="1" l="1"/>
  <c r="R184" i="1"/>
  <c r="U191" i="1"/>
  <c r="U190" i="1"/>
  <c r="U188" i="1"/>
  <c r="U183" i="1"/>
  <c r="U181" i="1"/>
  <c r="U180" i="1"/>
  <c r="U179" i="1"/>
  <c r="U178" i="1"/>
  <c r="U174" i="1"/>
  <c r="U173" i="1"/>
  <c r="U171" i="1"/>
  <c r="U170" i="1"/>
  <c r="U167" i="1"/>
  <c r="U166" i="1"/>
  <c r="U165" i="1"/>
  <c r="U164" i="1"/>
  <c r="U159" i="1"/>
  <c r="U158" i="1"/>
  <c r="U156" i="1"/>
  <c r="U155" i="1"/>
  <c r="U151" i="1"/>
  <c r="U149" i="1"/>
  <c r="R187" i="1" l="1"/>
  <c r="R176" i="1"/>
  <c r="R163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V191" i="1" l="1"/>
  <c r="Q100" i="1" l="1"/>
  <c r="P100" i="1"/>
  <c r="O100" i="1"/>
  <c r="Q96" i="1"/>
  <c r="P96" i="1"/>
  <c r="O96" i="1"/>
  <c r="Q92" i="1"/>
  <c r="P92" i="1"/>
  <c r="O92" i="1"/>
  <c r="U92" i="1" s="1"/>
  <c r="Q88" i="1"/>
  <c r="P88" i="1"/>
  <c r="O88" i="1"/>
  <c r="Q84" i="1"/>
  <c r="P84" i="1"/>
  <c r="O84" i="1"/>
  <c r="Q80" i="1"/>
  <c r="P80" i="1"/>
  <c r="O80" i="1"/>
  <c r="Q76" i="1"/>
  <c r="P76" i="1"/>
  <c r="O76" i="1"/>
  <c r="Q72" i="1"/>
  <c r="P72" i="1"/>
  <c r="O72" i="1"/>
  <c r="U72" i="1" l="1"/>
  <c r="U76" i="1"/>
  <c r="V76" i="1" s="1"/>
  <c r="U88" i="1"/>
  <c r="V88" i="1" s="1"/>
  <c r="U84" i="1"/>
  <c r="V84" i="1" s="1"/>
  <c r="U100" i="1"/>
  <c r="V100" i="1" s="1"/>
  <c r="U80" i="1"/>
  <c r="V80" i="1" s="1"/>
  <c r="U96" i="1"/>
  <c r="V72" i="1"/>
  <c r="V92" i="1"/>
  <c r="V96" i="1"/>
  <c r="V193" i="1"/>
  <c r="Q187" i="1"/>
  <c r="P187" i="1"/>
  <c r="U187" i="1" s="1"/>
  <c r="V187" i="1" l="1"/>
  <c r="V178" i="1"/>
  <c r="V190" i="1" l="1"/>
  <c r="Q176" i="1"/>
  <c r="P176" i="1"/>
  <c r="V175" i="1"/>
  <c r="V169" i="1"/>
  <c r="V168" i="1"/>
  <c r="V151" i="1"/>
  <c r="V150" i="1"/>
  <c r="V149" i="1"/>
  <c r="V148" i="1"/>
  <c r="P147" i="1"/>
  <c r="V146" i="1"/>
  <c r="V189" i="1"/>
  <c r="V188" i="1"/>
  <c r="V186" i="1"/>
  <c r="V185" i="1"/>
  <c r="V173" i="1"/>
  <c r="V172" i="1"/>
  <c r="V164" i="1"/>
  <c r="U176" i="1" l="1"/>
  <c r="V176" i="1" s="1"/>
  <c r="U147" i="1"/>
  <c r="U152" i="1" s="1"/>
  <c r="Q184" i="1"/>
  <c r="U184" i="1" s="1"/>
  <c r="Q163" i="1"/>
  <c r="V163" i="1" s="1"/>
  <c r="Q162" i="1"/>
  <c r="Q161" i="1"/>
  <c r="R161" i="1" s="1"/>
  <c r="U161" i="1" s="1"/>
  <c r="P160" i="1"/>
  <c r="V183" i="1"/>
  <c r="V182" i="1"/>
  <c r="V181" i="1"/>
  <c r="V180" i="1"/>
  <c r="V179" i="1"/>
  <c r="V177" i="1"/>
  <c r="V174" i="1"/>
  <c r="V171" i="1"/>
  <c r="V170" i="1"/>
  <c r="V167" i="1"/>
  <c r="V166" i="1"/>
  <c r="V165" i="1"/>
  <c r="V159" i="1"/>
  <c r="V147" i="1" l="1"/>
  <c r="V152" i="1" s="1"/>
  <c r="R162" i="1"/>
  <c r="U162" i="1" s="1"/>
  <c r="V162" i="1" s="1"/>
  <c r="Q160" i="1"/>
  <c r="V158" i="1"/>
  <c r="V184" i="1"/>
  <c r="V161" i="1"/>
  <c r="O71" i="1"/>
  <c r="O83" i="1"/>
  <c r="O68" i="1"/>
  <c r="R160" i="1" l="1"/>
  <c r="U160" i="1" s="1"/>
  <c r="V160" i="1" s="1"/>
  <c r="O143" i="1"/>
  <c r="V143" i="1"/>
  <c r="O139" i="1"/>
  <c r="V139" i="1" s="1"/>
  <c r="O135" i="1"/>
  <c r="V135" i="1" s="1"/>
  <c r="O132" i="1"/>
  <c r="V132" i="1" s="1"/>
  <c r="O129" i="1"/>
  <c r="V129" i="1" s="1"/>
  <c r="V126" i="1"/>
  <c r="V123" i="1"/>
  <c r="V120" i="1"/>
  <c r="O117" i="1"/>
  <c r="V117" i="1"/>
  <c r="O114" i="1"/>
  <c r="V114" i="1"/>
  <c r="Q109" i="1"/>
  <c r="P109" i="1"/>
  <c r="O109" i="1"/>
  <c r="O106" i="1"/>
  <c r="Q106" i="1"/>
  <c r="P106" i="1"/>
  <c r="O103" i="1"/>
  <c r="Q103" i="1"/>
  <c r="P103" i="1"/>
  <c r="O99" i="1"/>
  <c r="Q99" i="1"/>
  <c r="P99" i="1"/>
  <c r="O95" i="1"/>
  <c r="Q95" i="1"/>
  <c r="P95" i="1"/>
  <c r="O91" i="1"/>
  <c r="Q91" i="1"/>
  <c r="P91" i="1"/>
  <c r="O87" i="1"/>
  <c r="Q87" i="1"/>
  <c r="P87" i="1"/>
  <c r="Q83" i="1"/>
  <c r="P83" i="1"/>
  <c r="O79" i="1"/>
  <c r="Q79" i="1"/>
  <c r="P79" i="1"/>
  <c r="O75" i="1"/>
  <c r="Q75" i="1"/>
  <c r="P75" i="1"/>
  <c r="Q71" i="1"/>
  <c r="P71" i="1"/>
  <c r="Q68" i="1"/>
  <c r="P68" i="1"/>
  <c r="Q65" i="1"/>
  <c r="P65" i="1"/>
  <c r="O65" i="1"/>
  <c r="V65" i="1" s="1"/>
  <c r="Q62" i="1"/>
  <c r="P62" i="1"/>
  <c r="O62" i="1"/>
  <c r="Q59" i="1"/>
  <c r="P59" i="1"/>
  <c r="O59" i="1"/>
  <c r="O56" i="1"/>
  <c r="Q56" i="1"/>
  <c r="P56" i="1"/>
  <c r="O53" i="1"/>
  <c r="Q53" i="1"/>
  <c r="P53" i="1"/>
  <c r="O50" i="1"/>
  <c r="Q50" i="1"/>
  <c r="P50" i="1"/>
  <c r="O49" i="1"/>
  <c r="Q47" i="1"/>
  <c r="P47" i="1"/>
  <c r="O47" i="1"/>
  <c r="O44" i="1"/>
  <c r="Q44" i="1"/>
  <c r="P44" i="1"/>
  <c r="O41" i="1"/>
  <c r="Q41" i="1"/>
  <c r="P41" i="1"/>
  <c r="O38" i="1"/>
  <c r="Q38" i="1"/>
  <c r="P38" i="1"/>
  <c r="O35" i="1"/>
  <c r="Q32" i="1"/>
  <c r="P32" i="1"/>
  <c r="O32" i="1"/>
  <c r="Q35" i="1"/>
  <c r="P35" i="1"/>
  <c r="U157" i="1"/>
  <c r="V156" i="1"/>
  <c r="V142" i="1"/>
  <c r="V138" i="1"/>
  <c r="V134" i="1"/>
  <c r="V131" i="1"/>
  <c r="V128" i="1"/>
  <c r="V125" i="1"/>
  <c r="V122" i="1"/>
  <c r="V119" i="1"/>
  <c r="V116" i="1"/>
  <c r="V113" i="1"/>
  <c r="Q108" i="1"/>
  <c r="P108" i="1"/>
  <c r="O108" i="1"/>
  <c r="Q105" i="1"/>
  <c r="P105" i="1"/>
  <c r="O105" i="1"/>
  <c r="Q102" i="1"/>
  <c r="P102" i="1"/>
  <c r="O102" i="1"/>
  <c r="Q98" i="1"/>
  <c r="P98" i="1"/>
  <c r="O98" i="1"/>
  <c r="Q94" i="1"/>
  <c r="P94" i="1"/>
  <c r="O94" i="1"/>
  <c r="Q90" i="1"/>
  <c r="P90" i="1"/>
  <c r="O90" i="1"/>
  <c r="Q86" i="1"/>
  <c r="P86" i="1"/>
  <c r="O86" i="1"/>
  <c r="Q82" i="1"/>
  <c r="P82" i="1"/>
  <c r="O82" i="1"/>
  <c r="Q78" i="1"/>
  <c r="P78" i="1"/>
  <c r="O78" i="1"/>
  <c r="Q74" i="1"/>
  <c r="P74" i="1"/>
  <c r="O74" i="1"/>
  <c r="Q70" i="1"/>
  <c r="P70" i="1"/>
  <c r="O70" i="1"/>
  <c r="Q67" i="1"/>
  <c r="P67" i="1"/>
  <c r="O67" i="1"/>
  <c r="Q64" i="1"/>
  <c r="P64" i="1"/>
  <c r="O64" i="1"/>
  <c r="Q61" i="1"/>
  <c r="P61" i="1"/>
  <c r="O61" i="1"/>
  <c r="Q58" i="1"/>
  <c r="P58" i="1"/>
  <c r="O58" i="1"/>
  <c r="Q55" i="1"/>
  <c r="P55" i="1"/>
  <c r="O55" i="1"/>
  <c r="Q51" i="1"/>
  <c r="P51" i="1"/>
  <c r="O51" i="1"/>
  <c r="V51" i="1" s="1"/>
  <c r="Q49" i="1"/>
  <c r="P49" i="1"/>
  <c r="Q46" i="1"/>
  <c r="P46" i="1"/>
  <c r="O46" i="1"/>
  <c r="Q43" i="1"/>
  <c r="P43" i="1"/>
  <c r="O43" i="1"/>
  <c r="Q40" i="1"/>
  <c r="P40" i="1"/>
  <c r="O40" i="1"/>
  <c r="Q37" i="1"/>
  <c r="P37" i="1"/>
  <c r="O37" i="1"/>
  <c r="Q34" i="1"/>
  <c r="P34" i="1"/>
  <c r="O34" i="1"/>
  <c r="Q31" i="1"/>
  <c r="P31" i="1"/>
  <c r="O31" i="1"/>
  <c r="V154" i="1"/>
  <c r="V157" i="1" l="1"/>
  <c r="U194" i="1"/>
  <c r="V155" i="1"/>
  <c r="V62" i="1"/>
  <c r="V109" i="1"/>
  <c r="V59" i="1"/>
  <c r="V47" i="1"/>
  <c r="V103" i="1"/>
  <c r="V106" i="1"/>
  <c r="V99" i="1"/>
  <c r="V91" i="1"/>
  <c r="V95" i="1"/>
  <c r="V87" i="1"/>
  <c r="V79" i="1"/>
  <c r="V83" i="1"/>
  <c r="V75" i="1"/>
  <c r="V68" i="1"/>
  <c r="V56" i="1"/>
  <c r="V53" i="1"/>
  <c r="V50" i="1"/>
  <c r="V44" i="1"/>
  <c r="V38" i="1"/>
  <c r="V41" i="1"/>
  <c r="V64" i="1"/>
  <c r="V105" i="1"/>
  <c r="V35" i="1"/>
  <c r="V37" i="1"/>
  <c r="V61" i="1"/>
  <c r="V67" i="1"/>
  <c r="V74" i="1"/>
  <c r="V82" i="1"/>
  <c r="V90" i="1"/>
  <c r="V98" i="1"/>
  <c r="V108" i="1"/>
  <c r="V34" i="1"/>
  <c r="V40" i="1"/>
  <c r="V49" i="1"/>
  <c r="V55" i="1"/>
  <c r="V43" i="1"/>
  <c r="V70" i="1"/>
  <c r="V78" i="1"/>
  <c r="V86" i="1"/>
  <c r="V94" i="1"/>
  <c r="V102" i="1"/>
  <c r="V31" i="1"/>
  <c r="V46" i="1"/>
  <c r="V58" i="1"/>
  <c r="T57" i="2"/>
  <c r="T58" i="2" s="1"/>
  <c r="U52" i="2"/>
  <c r="T52" i="2"/>
  <c r="T51" i="2"/>
  <c r="U51" i="2" s="1"/>
  <c r="T50" i="2"/>
  <c r="U50" i="2" s="1"/>
  <c r="T49" i="2"/>
  <c r="U49" i="2" s="1"/>
  <c r="T48" i="2"/>
  <c r="U48" i="2" s="1"/>
  <c r="T47" i="2"/>
  <c r="U47" i="2" s="1"/>
  <c r="T46" i="2"/>
  <c r="U46" i="2" s="1"/>
  <c r="T45" i="2"/>
  <c r="U45" i="2" s="1"/>
  <c r="U44" i="2"/>
  <c r="T44" i="2"/>
  <c r="T43" i="2"/>
  <c r="U43" i="2" s="1"/>
  <c r="T42" i="2"/>
  <c r="U42" i="2" s="1"/>
  <c r="T41" i="2"/>
  <c r="U41" i="2" s="1"/>
  <c r="R40" i="2"/>
  <c r="Q40" i="2"/>
  <c r="P40" i="2"/>
  <c r="O40" i="2"/>
  <c r="R39" i="2"/>
  <c r="Q39" i="2"/>
  <c r="P39" i="2"/>
  <c r="O39" i="2"/>
  <c r="R38" i="2"/>
  <c r="Q38" i="2"/>
  <c r="P38" i="2"/>
  <c r="O38" i="2"/>
  <c r="R37" i="2"/>
  <c r="Q37" i="2"/>
  <c r="P37" i="2"/>
  <c r="O37" i="2"/>
  <c r="R36" i="2"/>
  <c r="Q36" i="2"/>
  <c r="P36" i="2"/>
  <c r="O36" i="2"/>
  <c r="R35" i="2"/>
  <c r="Q35" i="2"/>
  <c r="P35" i="2"/>
  <c r="O35" i="2"/>
  <c r="R34" i="2"/>
  <c r="Q34" i="2"/>
  <c r="P34" i="2"/>
  <c r="O34" i="2"/>
  <c r="R33" i="2"/>
  <c r="Q33" i="2"/>
  <c r="P33" i="2"/>
  <c r="O33" i="2"/>
  <c r="R32" i="2"/>
  <c r="Q32" i="2"/>
  <c r="P32" i="2"/>
  <c r="O32" i="2"/>
  <c r="R31" i="2"/>
  <c r="Q31" i="2"/>
  <c r="P31" i="2"/>
  <c r="O31" i="2"/>
  <c r="R30" i="2"/>
  <c r="Q30" i="2"/>
  <c r="P30" i="2"/>
  <c r="T30" i="2" s="1"/>
  <c r="U30" i="2" s="1"/>
  <c r="O30" i="2"/>
  <c r="R29" i="2"/>
  <c r="Q29" i="2"/>
  <c r="P29" i="2"/>
  <c r="O29" i="2"/>
  <c r="R28" i="2"/>
  <c r="Q28" i="2"/>
  <c r="P28" i="2"/>
  <c r="O28" i="2"/>
  <c r="R27" i="2"/>
  <c r="Q27" i="2"/>
  <c r="P27" i="2"/>
  <c r="O27" i="2"/>
  <c r="R26" i="2"/>
  <c r="Q26" i="2"/>
  <c r="P26" i="2"/>
  <c r="O26" i="2"/>
  <c r="R25" i="2"/>
  <c r="Q25" i="2"/>
  <c r="P25" i="2"/>
  <c r="O25" i="2"/>
  <c r="R24" i="2"/>
  <c r="Q24" i="2"/>
  <c r="P24" i="2"/>
  <c r="O24" i="2"/>
  <c r="R23" i="2"/>
  <c r="Q23" i="2"/>
  <c r="P23" i="2"/>
  <c r="O23" i="2"/>
  <c r="R22" i="2"/>
  <c r="Q22" i="2"/>
  <c r="P22" i="2"/>
  <c r="O22" i="2"/>
  <c r="R21" i="2"/>
  <c r="Q21" i="2"/>
  <c r="P21" i="2"/>
  <c r="O21" i="2"/>
  <c r="R20" i="2"/>
  <c r="Q20" i="2"/>
  <c r="P20" i="2"/>
  <c r="O20" i="2"/>
  <c r="R19" i="2"/>
  <c r="Q19" i="2"/>
  <c r="P19" i="2"/>
  <c r="O19" i="2"/>
  <c r="R18" i="2"/>
  <c r="Q18" i="2"/>
  <c r="P18" i="2"/>
  <c r="O18" i="2"/>
  <c r="R17" i="2"/>
  <c r="Q17" i="2"/>
  <c r="P17" i="2"/>
  <c r="O17" i="2"/>
  <c r="R16" i="2"/>
  <c r="Q16" i="2"/>
  <c r="P16" i="2"/>
  <c r="O16" i="2"/>
  <c r="R15" i="2"/>
  <c r="Q15" i="2"/>
  <c r="P15" i="2"/>
  <c r="O15" i="2"/>
  <c r="V194" i="1" l="1"/>
  <c r="U57" i="2"/>
  <c r="U144" i="1"/>
  <c r="U195" i="1" s="1"/>
  <c r="V195" i="1" s="1"/>
  <c r="T15" i="2"/>
  <c r="T16" i="2"/>
  <c r="U16" i="2" s="1"/>
  <c r="T17" i="2"/>
  <c r="U17" i="2" s="1"/>
  <c r="T18" i="2"/>
  <c r="U18" i="2" s="1"/>
  <c r="T19" i="2"/>
  <c r="U19" i="2" s="1"/>
  <c r="T20" i="2"/>
  <c r="U20" i="2" s="1"/>
  <c r="T21" i="2"/>
  <c r="U21" i="2" s="1"/>
  <c r="T22" i="2"/>
  <c r="U22" i="2" s="1"/>
  <c r="T23" i="2"/>
  <c r="U23" i="2" s="1"/>
  <c r="T24" i="2"/>
  <c r="U24" i="2" s="1"/>
  <c r="T25" i="2"/>
  <c r="U25" i="2" s="1"/>
  <c r="T26" i="2"/>
  <c r="U26" i="2" s="1"/>
  <c r="T27" i="2"/>
  <c r="U27" i="2" s="1"/>
  <c r="T28" i="2"/>
  <c r="U28" i="2" s="1"/>
  <c r="T29" i="2"/>
  <c r="U29" i="2" s="1"/>
  <c r="T31" i="2"/>
  <c r="U31" i="2" s="1"/>
  <c r="T32" i="2"/>
  <c r="U32" i="2" s="1"/>
  <c r="T33" i="2"/>
  <c r="U33" i="2" s="1"/>
  <c r="T34" i="2"/>
  <c r="U34" i="2" s="1"/>
  <c r="T35" i="2"/>
  <c r="U35" i="2" s="1"/>
  <c r="T36" i="2"/>
  <c r="U36" i="2" s="1"/>
  <c r="T37" i="2"/>
  <c r="U37" i="2" s="1"/>
  <c r="T38" i="2"/>
  <c r="U38" i="2" s="1"/>
  <c r="T39" i="2"/>
  <c r="U39" i="2" s="1"/>
  <c r="T40" i="2"/>
  <c r="U40" i="2" s="1"/>
  <c r="V71" i="1"/>
  <c r="V32" i="1"/>
  <c r="U15" i="2"/>
  <c r="U53" i="2" s="1"/>
  <c r="V141" i="1"/>
  <c r="V140" i="1"/>
  <c r="V137" i="1"/>
  <c r="V136" i="1"/>
  <c r="V133" i="1"/>
  <c r="V130" i="1"/>
  <c r="V127" i="1"/>
  <c r="V124" i="1"/>
  <c r="V121" i="1"/>
  <c r="V118" i="1"/>
  <c r="V115" i="1"/>
  <c r="V112" i="1"/>
  <c r="Q111" i="1"/>
  <c r="P111" i="1"/>
  <c r="O111" i="1"/>
  <c r="Q110" i="1"/>
  <c r="P110" i="1"/>
  <c r="O110" i="1"/>
  <c r="Q107" i="1"/>
  <c r="P107" i="1"/>
  <c r="O107" i="1"/>
  <c r="Q104" i="1"/>
  <c r="P104" i="1"/>
  <c r="O104" i="1"/>
  <c r="Q101" i="1"/>
  <c r="P101" i="1"/>
  <c r="O101" i="1"/>
  <c r="Q97" i="1"/>
  <c r="P97" i="1"/>
  <c r="O97" i="1"/>
  <c r="Q93" i="1"/>
  <c r="P93" i="1"/>
  <c r="O93" i="1"/>
  <c r="Q89" i="1"/>
  <c r="P89" i="1"/>
  <c r="O89" i="1"/>
  <c r="Q85" i="1"/>
  <c r="P85" i="1"/>
  <c r="O85" i="1"/>
  <c r="Q81" i="1"/>
  <c r="P81" i="1"/>
  <c r="O81" i="1"/>
  <c r="Q77" i="1"/>
  <c r="P77" i="1"/>
  <c r="O77" i="1"/>
  <c r="Q73" i="1"/>
  <c r="P73" i="1"/>
  <c r="O73" i="1"/>
  <c r="Q69" i="1"/>
  <c r="P69" i="1"/>
  <c r="O69" i="1"/>
  <c r="Q66" i="1"/>
  <c r="P66" i="1"/>
  <c r="O66" i="1"/>
  <c r="Q63" i="1"/>
  <c r="P63" i="1"/>
  <c r="O63" i="1"/>
  <c r="Q60" i="1"/>
  <c r="P60" i="1"/>
  <c r="O60" i="1"/>
  <c r="Q57" i="1"/>
  <c r="P57" i="1"/>
  <c r="O57" i="1"/>
  <c r="Q54" i="1"/>
  <c r="P54" i="1"/>
  <c r="O54" i="1"/>
  <c r="Q52" i="1"/>
  <c r="P52" i="1"/>
  <c r="O52" i="1"/>
  <c r="Q48" i="1"/>
  <c r="P48" i="1"/>
  <c r="O48" i="1"/>
  <c r="Q45" i="1"/>
  <c r="P45" i="1"/>
  <c r="O45" i="1"/>
  <c r="Q42" i="1"/>
  <c r="P42" i="1"/>
  <c r="O42" i="1"/>
  <c r="Q39" i="1"/>
  <c r="P39" i="1"/>
  <c r="O39" i="1"/>
  <c r="Q36" i="1"/>
  <c r="P36" i="1"/>
  <c r="O36" i="1"/>
  <c r="Q33" i="1"/>
  <c r="P33" i="1"/>
  <c r="O33" i="1"/>
  <c r="Q30" i="1"/>
  <c r="P30" i="1"/>
  <c r="O30" i="1"/>
  <c r="T53" i="2" l="1"/>
  <c r="T59" i="2" s="1"/>
  <c r="U59" i="2" s="1"/>
  <c r="V93" i="1"/>
  <c r="V36" i="1"/>
  <c r="V39" i="1"/>
  <c r="V42" i="1"/>
  <c r="V45" i="1"/>
  <c r="V48" i="1"/>
  <c r="V54" i="1"/>
  <c r="V57" i="1"/>
  <c r="V60" i="1"/>
  <c r="V63" i="1"/>
  <c r="V66" i="1"/>
  <c r="V69" i="1"/>
  <c r="V73" i="1"/>
  <c r="V77" i="1"/>
  <c r="V81" i="1"/>
  <c r="V85" i="1"/>
  <c r="V89" i="1"/>
  <c r="V97" i="1"/>
  <c r="V101" i="1"/>
  <c r="V104" i="1"/>
  <c r="V107" i="1"/>
  <c r="V110" i="1"/>
  <c r="V111" i="1"/>
  <c r="V33" i="1"/>
  <c r="V52" i="1" l="1"/>
  <c r="V30" i="1"/>
  <c r="V144" i="1" l="1"/>
</calcChain>
</file>

<file path=xl/sharedStrings.xml><?xml version="1.0" encoding="utf-8"?>
<sst xmlns="http://schemas.openxmlformats.org/spreadsheetml/2006/main" count="2955" uniqueCount="479">
  <si>
    <t xml:space="preserve">№ </t>
  </si>
  <si>
    <t>Наимено-вание Заказчика</t>
  </si>
  <si>
    <t>Код  ТРУ</t>
  </si>
  <si>
    <t>Способ закупок</t>
  </si>
  <si>
    <t>Прогноз местного содержания, %</t>
  </si>
  <si>
    <t>Срок осуществления закупок (предполагаемая дата/месяц проведения)</t>
  </si>
  <si>
    <t>Регион, место поставки товара, выполнения работ, оказания услуг</t>
  </si>
  <si>
    <t>Условия поставки по ИНКО-ТЕРМС 2010</t>
  </si>
  <si>
    <t>Условия оплаты (размер авансового платежа), %</t>
  </si>
  <si>
    <t>Ед. измерен. согласно  ЕНС ТРУ</t>
  </si>
  <si>
    <t>Количество, объем (по товарам)/ сумма без НДС, тенге (по работам, услугам)</t>
  </si>
  <si>
    <t>Маркетинговая цена за единицу, тенге без НДС</t>
  </si>
  <si>
    <t>Сумма, планируемая для закупок ТРУ без НДС,  тенге</t>
  </si>
  <si>
    <t>Сумма,  планируемая для закупки ТРУ с НДС,  тенге</t>
  </si>
  <si>
    <t>Приоритет закупки</t>
  </si>
  <si>
    <t>Год закупки/ год корректировки</t>
  </si>
  <si>
    <t>Приме чание</t>
  </si>
  <si>
    <t xml:space="preserve">Наименование закупаемых товаров, работ и услуг </t>
  </si>
  <si>
    <t xml:space="preserve">Краткая характеристика (описание) товаров, работ и услуг  </t>
  </si>
  <si>
    <t>Дополнительная характеристика</t>
  </si>
  <si>
    <t>6</t>
  </si>
  <si>
    <t>ОИ</t>
  </si>
  <si>
    <t>1 У</t>
  </si>
  <si>
    <t>г.Астана</t>
  </si>
  <si>
    <t>Всего:</t>
  </si>
  <si>
    <t>услуга</t>
  </si>
  <si>
    <t>ТОО  "КазМунайГаз-Сервис"</t>
  </si>
  <si>
    <t>49.32.12.10.00.00.00</t>
  </si>
  <si>
    <t>Услуги по аренде легковых автомобилей с водителем</t>
  </si>
  <si>
    <t xml:space="preserve">Услуги взятого напрокат автомобиля с водителем, кроме услуг такси. </t>
  </si>
  <si>
    <t>январь 2014  года</t>
  </si>
  <si>
    <t xml:space="preserve"> оплата по факту оказания услуг</t>
  </si>
  <si>
    <t>2014 г.</t>
  </si>
  <si>
    <t>2015 г.</t>
  </si>
  <si>
    <t>2016 г.</t>
  </si>
  <si>
    <t>ОП</t>
  </si>
  <si>
    <t>2017 г.</t>
  </si>
  <si>
    <t>2018 г.</t>
  </si>
  <si>
    <t>1 Т</t>
  </si>
  <si>
    <t>20.41.32.00.00.00.40.10.2</t>
  </si>
  <si>
    <t>Средство для мытья полов</t>
  </si>
  <si>
    <t>жидкость для мытья  полов</t>
  </si>
  <si>
    <t>Кислотное средство для общей чистки с использованием поломойных машин. Моющее средство эффективно удаляет цементные разводы, известковый налет, ржавчину, пивной и молочный камень. Кислое pH: 10-13. В пластиковой канистре. Состав: анионные тензиды, неионные тензиды, ароматизаторы, красители.  Объем 20л.</t>
  </si>
  <si>
    <t>ЭОТТ</t>
  </si>
  <si>
    <t>февраль-март</t>
  </si>
  <si>
    <t>г.Астана, ул.Ауэзова, д.18</t>
  </si>
  <si>
    <t>DDP</t>
  </si>
  <si>
    <t>авансовый платеж - 30%, оставшаяся часть в течение 10 рабочих дней с момента подписания акта приема - передачи поставленных товаров</t>
  </si>
  <si>
    <t>Литр (куб. дм.)</t>
  </si>
  <si>
    <t>ОТП</t>
  </si>
  <si>
    <t>2 Т</t>
  </si>
  <si>
    <t>20.41.32.00.00.00.40.10.1</t>
  </si>
  <si>
    <t>Очищает и дезинфицирует все моющие поверхности. В пластиковой упаковке, объемом 500 мл</t>
  </si>
  <si>
    <t>Бутылка</t>
  </si>
  <si>
    <t>3 Т</t>
  </si>
  <si>
    <t>20.41.32.00.00.00.30.40.1</t>
  </si>
  <si>
    <t>Средство для чистки унитаза</t>
  </si>
  <si>
    <t>гелеобразное для чистки и дезинфекции унитаза</t>
  </si>
  <si>
    <t>в пластмассовой бутылке, объемом: 500 мл.</t>
  </si>
  <si>
    <t>4 Т</t>
  </si>
  <si>
    <t>В пластмассовой бутылке, объемом: 750 мл. Убивает 99,9% микробов.
-Удаляет самые стойкие пятна и до 100% известкового налета;
-Меняет цвет во время очищения;
-Эффективен даже под водой. Состав: вода, кислота соляная &gt;5% но &lt; 15%, н-ПАВ &lt;5%, амфотерное ПАВ &lt;
5%, отдушка, краситель.</t>
  </si>
  <si>
    <t>5 Т</t>
  </si>
  <si>
    <t>20.41.32.00.00.00.20.10.1</t>
  </si>
  <si>
    <t>Средство для мытья стекол</t>
  </si>
  <si>
    <t>предназначен для мытья всех типов стеклянных и зеркальных поверхностей</t>
  </si>
  <si>
    <t xml:space="preserve"> Очищает и дезинфицирует все моющие поверхности. В пластиковой упаковке, объемом 500 мл. Состав: &lt;5% неионогенные ПАВ; консерванты, ароматизирующие добавки,
цитраль, цитронеллол, гераниол, гексилкоричный альдегид, лимонен,
линалоол.</t>
  </si>
  <si>
    <t>6 Т</t>
  </si>
  <si>
    <t>20.41.41.00.00.00.20.20.1</t>
  </si>
  <si>
    <t>Средство отбеливающее и дезодорирующее</t>
  </si>
  <si>
    <t>предназначено для отбеливания и удаления пятен с белых изделий, дезинфекции различных поверхностей</t>
  </si>
  <si>
    <t>Жидкое отбеливающее и дезинфицирующее средство, предназначенное для отбеливания изделий из хлопчатобумажных и льняных тканей, Предназначен для удаления пятен и дезинфекции облицовочной плитки, пластика, мусорных ведер, сантехники. (NaOCl) – гипохлорит натрия. Является сильным окислителем с содержанием активного хлора 95,2 % и обладает хорошими дезинфицирующими и антисептическими свойствами.  Объем 1л.</t>
  </si>
  <si>
    <t>7 Т</t>
  </si>
  <si>
    <t>20.41.31.00.00.10.20.10.1</t>
  </si>
  <si>
    <t>Мыло хозяйственное</t>
  </si>
  <si>
    <t>твердое, 1 группы, 72%, ГОСТ 30266-95</t>
  </si>
  <si>
    <t>вес: 200 г</t>
  </si>
  <si>
    <t>Штука</t>
  </si>
  <si>
    <t>8 Т</t>
  </si>
  <si>
    <t>20.41.31.00.00.10.10.50.1</t>
  </si>
  <si>
    <t>Мыло туалетное</t>
  </si>
  <si>
    <t>жидкое, гелеобразное, ГОСТ 23361-78</t>
  </si>
  <si>
    <t>В пластмассовой бутылке с дозатором, объемом 300 мл. Обладает выраженными моющими свойствами рН средства 5,5.
Состав: вода, глицерин, ПЭГ - 175, дистеарат, цетримониум хлорид,
лаурамин оксид, лорамид Дей, акрилаты/ПЭГ-10 малеат/стирен кополимер,
ЭДТА, ароматизатор, бензофенон-4, лимонной кислоты моногидрат,
бензалкония хлорид, алкоксилированный диэфир миристинового спирта и
адипиновой кислоты, пропиленгликоль, экстракт цветков ромашки, масло
семян хлопчатника травянистого,
метилхлороизотиазоли­нон/метилизотиазолинон, CI 15510, CI 19140.</t>
  </si>
  <si>
    <t>9 Т</t>
  </si>
  <si>
    <t>20.41.31.00.00.10.10.50.2</t>
  </si>
  <si>
    <t>pH 1%-го раствора 5,5 - 7,0
Высококачественное жидкое мыло с антибактериальными компонентами, обладающее мягким очищающим эффектом, смягчающее и увлажняющее кожу рук. Не содержащее в своем компонентном составе красителей и ароматизаторов. В пластиковой канистре, объем 5л.</t>
  </si>
  <si>
    <t>10 Т</t>
  </si>
  <si>
    <t>20.41.44.00.00.00.00.40.1</t>
  </si>
  <si>
    <t>Ополаскиватель</t>
  </si>
  <si>
    <t>Концентрированный кондиционер для белья. Придает мягкость, свежесть, антистатик, облегчает глажение</t>
  </si>
  <si>
    <t>В средстве содержится:
5-15% катионные ПАВ, &lt;5% неиногенные ПАВ, консерванты, ароматизирующие добавки, 3-метил-4-(2,6,6-три-метил-2-2иклогексен-1-ил)-3-бутен-2-он, бензилсалицилат, 2-(4-тетрбутилбензил)пропиональдегид, цитронеллол, гексилкоричный альдегид, линалоол. В пластиковой упаковке, объемом 1 000 мл.</t>
  </si>
  <si>
    <t>11 Т</t>
  </si>
  <si>
    <t>20.41.41.00.00.00.10.10.3</t>
  </si>
  <si>
    <t>Освежитель воздуха</t>
  </si>
  <si>
    <t>освежители воздуха и арома-средства, для  устранения неприятного запаха в помещениях (комната, ванна, туалеты)</t>
  </si>
  <si>
    <t>Состав: вода, бутан/пропан/изобутан менее 15% но более 30%, н-ПАВ
&lt;5%, фосфонаты &lt;5%, отдушка, растворитель, водный раствор
аммиака, консервант, линалоол.В аэрозолевой бутылке, объемом: 300мл</t>
  </si>
  <si>
    <t>12 Т</t>
  </si>
  <si>
    <t>Средство для глухих туалетных комнат. Освежитель воздуха автоматический  на аппарат "Paradise". Состав: изобутан, пропан, растворитель, ацетон (10-20%), 5% отдушка
(бензиловый спирт, кумарин).  Объем 250 мл.</t>
  </si>
  <si>
    <t>13 Т</t>
  </si>
  <si>
    <t>20.41.32.00.00.00.10.10.1</t>
  </si>
  <si>
    <t>Средство для мытья посуды</t>
  </si>
  <si>
    <t>гелеобразное вещество для мытья посуды</t>
  </si>
  <si>
    <t>Состав: вода, лауретсульфат натрия (анионное ПАВ), оксид лаурамина (неионогенное ПАВ), полипропиленгликоль (загуститель), хлорид натрия, отдушка, этоксилат-пропоксилат полиэтиленимина, феноксиэтанол (консервант), 1,3-циклогександиметиламин (комплексообразователь), гидроксид натрия (регулятор реакции среды), метилизотиазолинон (консервант), пропиленгликоль, красители, лимонен (отдушка), линалоол. В пластмассовой бутылке, объемом: 500 мл.</t>
  </si>
  <si>
    <t>14 Т</t>
  </si>
  <si>
    <t>17.22.11.10.00.00.00.20.2</t>
  </si>
  <si>
    <t>Бумага туалетная</t>
  </si>
  <si>
    <t>многослойная, ширина не менее 90 мм, длина не менее 30 м</t>
  </si>
  <si>
    <t>Состав: 100% целюллоза. Трехслойная, ширина не менее 90 мм, длина не менее 30 м</t>
  </si>
  <si>
    <t>Рулон</t>
  </si>
  <si>
    <t>15 Т</t>
  </si>
  <si>
    <t>17.22.11.10.00.00.00.13.2</t>
  </si>
  <si>
    <t>двухслойная</t>
  </si>
  <si>
    <t>Состав: 100% целюллоза. Двухслойная, плотная, мягкая, ширина не менее 90 мм, длина не менее 180 м</t>
  </si>
  <si>
    <t>16 Т</t>
  </si>
  <si>
    <t>17.22.11.40.00.00.00.20.2</t>
  </si>
  <si>
    <t>полотенца гигиенические или косметические</t>
  </si>
  <si>
    <t>многослойные, ширина не менее 160 мм</t>
  </si>
  <si>
    <t>Бумажное полотенце в рулонах, 2-слойные, белые, 715 л/рул, размер листа 24,7 x 20 см на аппарат "Enmotion"</t>
  </si>
  <si>
    <t>17 Т</t>
  </si>
  <si>
    <t>17.22.11.30.00.00.00.10.1</t>
  </si>
  <si>
    <t>салфетки гигиенические или косметические</t>
  </si>
  <si>
    <t>без пропитки</t>
  </si>
  <si>
    <t>без пропитки, двуслойная, белая, Z-сложения, с тиснением, влагопрочная, с большой впитывающей способностью, состав: 100% целлюлоза. Упаковка: в коробке 100-120 листов.</t>
  </si>
  <si>
    <t>Одна пачка</t>
  </si>
  <si>
    <t>18 Т</t>
  </si>
  <si>
    <t>Салфетки однослойные, белые, состав: 100% целлюлоза. В полипропиленовом пакете 50 листов. Размеры: 24 см х 24 см. Плотность: 1 м² х 19±1 г.</t>
  </si>
  <si>
    <t>19 Т</t>
  </si>
  <si>
    <t>Салфетки двухслойные, белые, влагопрочные, с большой впитывающей способностью, состав: 100% целлюлоза. В полипропиленовам пакете 30 листов. Размеры: 33 см х 33 см. Плотность: 1 м² 2х17 г</t>
  </si>
  <si>
    <t>20 Т</t>
  </si>
  <si>
    <t xml:space="preserve">Салфетки двухслойные, белые, в коробке 100 листов (вытяжные), состав: 100% целлюлоза. </t>
  </si>
  <si>
    <t>21 Т</t>
  </si>
  <si>
    <t>Бумажные полотенца с тиснениеми перфорацией в рулонах, 2-х слойные, 2шт./уп. Размер листов: 23 х 12,5см.</t>
  </si>
  <si>
    <t>Упаковка</t>
  </si>
  <si>
    <t>22 Т</t>
  </si>
  <si>
    <t>13.92.21.00.00.00.30.13.2</t>
  </si>
  <si>
    <t>Мешок для мусора</t>
  </si>
  <si>
    <t>Полиэтиленовые мешки для мусора с завязками обычной прочности</t>
  </si>
  <si>
    <t>Полиэтиленовые мешки для мусора с завязками обычной прочности. Объем: 30л. Размер: 55см х 60 см, 50шт/рул.</t>
  </si>
  <si>
    <t>23 Т</t>
  </si>
  <si>
    <t>Объем: 60л. Размер: 60см х 80 см, 20шт/рул.</t>
  </si>
  <si>
    <t>24 Т</t>
  </si>
  <si>
    <t>14.12.30.00.00.80.16.43.1</t>
  </si>
  <si>
    <t>Перчатки технические</t>
  </si>
  <si>
    <t>из латекса, хозяйственные</t>
  </si>
  <si>
    <t xml:space="preserve">Перчатки резиновые хозяйственные из 100% латекса хлорированная поверхность, гипоалергенное, с хлопковым напылением внутри, против раздрожения кожи рук. </t>
  </si>
  <si>
    <t>пара</t>
  </si>
  <si>
    <t>25 Т</t>
  </si>
  <si>
    <t>32.91.11.00.00.00.17.10.1</t>
  </si>
  <si>
    <t>Губка</t>
  </si>
  <si>
    <t>для мытья посуды, кухонного оборудования и удаления различных загрязнений с неделикатных поверхностей</t>
  </si>
  <si>
    <t>Универсальные кухонные губки с абразивной поверхностью предназначены для мытья посуды, раковин и кухонной мебели. Размер: 90х64х30мм</t>
  </si>
  <si>
    <t>26 Т</t>
  </si>
  <si>
    <t>32.91.11.00.00.00.15.60.1</t>
  </si>
  <si>
    <t>Ерш</t>
  </si>
  <si>
    <t>Ерш хозяйственный</t>
  </si>
  <si>
    <t xml:space="preserve"> Ершик из нейлона для санитарной обработки унитаза, напольный стакан-подставка, выполненный из пластика первичной
обработки с прорезиненным дном для устойчивого размещения комплекта. Материал: пластик, нейлон. для уборки чистки унитаза.</t>
  </si>
  <si>
    <t>27 Т</t>
  </si>
  <si>
    <t>Акмолинская область, п.Зеренда, ОК "Сункар"</t>
  </si>
  <si>
    <t>28 Т</t>
  </si>
  <si>
    <t>29 Т</t>
  </si>
  <si>
    <t>30 Т</t>
  </si>
  <si>
    <t>31 Т</t>
  </si>
  <si>
    <t>в пластиковой упаковке, объемом 1 000 мл.</t>
  </si>
  <si>
    <t>32 Т</t>
  </si>
  <si>
    <t>17.22.11.10.00.00.00.10.2</t>
  </si>
  <si>
    <t>однослойная, ширина не менее 90 мм, длина не менее 30 м</t>
  </si>
  <si>
    <t>33 Т</t>
  </si>
  <si>
    <t>двухслойная, ширина не менее 90 мм, длина не менее 30 м</t>
  </si>
  <si>
    <t>34 Т</t>
  </si>
  <si>
    <t>Однослойная, белая, влагопрочная, состав: 100% целлюлоза. В полипропиленовом пакете 50 листов. Размеры: 24 см х 24 см. Плотность: 1 м² х 19±1 г.</t>
  </si>
  <si>
    <t>35 Т</t>
  </si>
  <si>
    <t>32.91.11.00.00.00.17.20.1</t>
  </si>
  <si>
    <t>для мытья посуды, кухонного оборудования и удаления различных загрязнений с деликатных поверхностей (хромированные, никелированные, тефлоновые, акриловые поверхности)</t>
  </si>
  <si>
    <t>Губка поролоновая для чистки кухни и ванны.</t>
  </si>
  <si>
    <t>36 Т</t>
  </si>
  <si>
    <t>37 Т</t>
  </si>
  <si>
    <t>38 Т</t>
  </si>
  <si>
    <t>итого по товарам</t>
  </si>
  <si>
    <t>х</t>
  </si>
  <si>
    <t>итого по услугам</t>
  </si>
  <si>
    <t>1.Товары</t>
  </si>
  <si>
    <t>2.Работы</t>
  </si>
  <si>
    <t>итого по работам</t>
  </si>
  <si>
    <t>3. Услуги</t>
  </si>
  <si>
    <t>Приложение №7 к Инструкции о порядке составления и представления отчетности по вопросам закупок, утвержденной решением Правлением АО "Самрук-Казына (протокол № ____ от ______)</t>
  </si>
  <si>
    <t>Утвержден решением Наблюдательного совета ТОО КазМунайГаз-Сервис" № 1/2014 (59) от 04.02.2014 г.</t>
  </si>
  <si>
    <t>План долгосрочных  закупок товаров, работ и услуг ТОО "КазМунайГаз-Сервис" на 2014-2018 гг.</t>
  </si>
  <si>
    <t>План закупок составляется и утверждается идентичным на государственном и русском языках.</t>
  </si>
  <si>
    <t>Форма отчетности должна представляться в электронном виде, шрифт - Times New Roman, кегль - 10. Изменение формы отчетности не допускается.</t>
  </si>
  <si>
    <t>План закупок формируется с учетом фактических и нормативных остатков товарно-материальных ценностей на складах на начало и конец планируемого периода в разрезе товарной номенклатуры по каждому наименованию товара.</t>
  </si>
  <si>
    <t>Руководство по заполнению Формы плана долгосрочных закупок товаров, работ и услуг:</t>
  </si>
  <si>
    <t>Номер строки плана закупок.</t>
  </si>
  <si>
    <t>Порядок нумерации строк плана закупок.</t>
  </si>
  <si>
    <t>При формировании плана закупок:</t>
  </si>
  <si>
    <t>- каждой строке плана закупок присваивается цифро-буквенное обозначение  соответствующего раздела. Цифра от буквы должна быть разделена пробелом.</t>
  </si>
  <si>
    <t>Пример: 15 Т - порядковый номер пятнадцатой строки раздела "Товары", 2 Р - порядковый номер второй строки раздела "Работы"</t>
  </si>
  <si>
    <t>2 У - порядковый номер второй строки раздела "Услуги"</t>
  </si>
  <si>
    <t>- нумерация строки каждого раздела начинается с "1".</t>
  </si>
  <si>
    <t>При внесении изменений и/или дополнений в план закупок:</t>
  </si>
  <si>
    <t>- при исключении строки (исключения позиции из плана закупок) - соответствующее цифро-буквенное обозначение строки остается, при этом в соответствующих строках граф  16,17 указывается "0", а в столбце Примечание указывается - "исключена".</t>
  </si>
  <si>
    <t>- при внесении изменений в план закупок (количества, суммы, места и условия поставки и т.д.) - соответствующее цифрово-буквенное обозначение строки остается,</t>
  </si>
  <si>
    <t>при этом в графе "Примечание" по данной строке  указывается графа, в которой произошли изменения, суммы в графах 20, 21 изменяемых строк отражаются как "0". Под соответствующей строкой добавляется строка с тем же порядковым номером.</t>
  </si>
  <si>
    <t>и буквенным обозначением и добавлением дополнительной нумерации. Пример: для изменения строки 2 Т, измененная строка нумеруется как 2-1 Т, при последующем изменении нумерация будет 2-2 Т и т.д.</t>
  </si>
  <si>
    <t>- в случае внесения дополнений в план закупок - соответствующая строка добавляется за последней порядковой строкой соответствующего раздела.</t>
  </si>
  <si>
    <t>- в случае внесения изменений или дополнений в план закупок, в верхнем правом углу помимо даты первичного утверждения указывается дата и номер внесения изменений или дополнений.</t>
  </si>
  <si>
    <t>Наименование организации.</t>
  </si>
  <si>
    <t>Код ТРУ . Указывается код товара, работы или услуги  на уровне 14 символов из кодов ЕНС ТРУ для работ и услуг, на уровне 17- для товаров.</t>
  </si>
  <si>
    <t>Наименование ТРУ. Заполняется согласно соответствующего кода ЕНС ТРУ .</t>
  </si>
  <si>
    <t>Краткая характеристика ТРУ. Заполняется согласно соответствующего кода ЕНС ТРУ. Номенклатура работ должна содержать сведения об объемах товаров, приобретаемых в рамках выполнения данных работ. При этом указание сведений об объемах товаров оформляется в виде отдельного приложения (неотъемлемая часть) Плана закупок.</t>
  </si>
  <si>
    <t>Дополнительная характеристика. В данной графе указывается дополнительная (уточняющая) характеристика закупаемых товаров, работ или услуг; заполняется в случае необходимости.</t>
  </si>
  <si>
    <t>Способ закупок. Указывается сокращенная буквенная аббревиатура способа закупок согласно кодировки, указанной в разделе 5 Инструкции.</t>
  </si>
  <si>
    <t>Прогноз местного содержания. Указывается прогноз местного содержания в закупках товаров, работ или услуг. Не допускается указание прогноза в виде 0-100%.</t>
  </si>
  <si>
    <t>Срок осуществления закупок. Указывается число и месяц закупки (как минимум месяц); не допускается указание срока осуществления закупок в виде "январь - декабрь" или "в течение года", "1-4 кв". Допускается указание в виде - "1 декада января", "январь-февраль", "июнь-июль", "январь, март, июнь, сентябрь".</t>
  </si>
  <si>
    <t>Регион, место поставки товара, выполнения работ, оказания услуг. Указывается  как регион, так и место поставки ТРУ. Пример: для товаров - Акмолинская область, г. Степногорск, склад ГМЗ или Акмолинская область,  ст. К-Боровое, для работ или услуг - г. Астана</t>
  </si>
  <si>
    <t>Условия поставки по ИНКОТЕРМС 2010. Пример: DDP</t>
  </si>
  <si>
    <t>Условия оплаты. Пример: авансовый платеж - 0%, оставшаяся часть в течении 30 рабочих дней с момента подписания акта приема - передачи поставленных товаров/ выполненных работ/ оказанных услуг.</t>
  </si>
  <si>
    <t>Единица измерения. Наименование единиц измерения товаров указывается согласно коду ЕНС ТРУ. По работам и услугам не заполняется</t>
  </si>
  <si>
    <t>Количество, объем. Указывается количество, объем закупаемых товаров, по годам поставки, в соответствии с единицей измерения, указанной в графе 13. По работам и услугам заполняется по суммам, выделенным для каждого года</t>
  </si>
  <si>
    <t>Маркетинговая цена за единицу, тенге без НДС. Цена определяемая согласно Правил определения маркетинговых цен на товары. Возможно заполнение по разделам - "Работы", "Услуги".</t>
  </si>
  <si>
    <t>Сумма, планируемая для закупок ТРУ без НДС,  тенге. Сумма, планируемая для закупок ТРУ с НДС,  тенге. В данных графах отражается вся сумма на весь объем долгосрочных закупок, без НДС и с НДС, соответственно.</t>
  </si>
  <si>
    <t>Приоритет закупки. Указывается один из приоритетов, отдаваемый при проведении закупки категориям поставщиков, указанных в Правилах закупок. Для закупок среди отечественных товаропроизводителей указывается аббревиатура ОТП, для организаций инвалидов - ОИН, для отечественных предпринимателей - ОП, для предприятий региона - ПР, для отечественных товаропроизводителей Холдинга - ОТПХ, для организаций, входящих в Холдинг - ОВХ, для отечественных поставщиков работ, услуг - ОПРУ</t>
  </si>
  <si>
    <t>Год закупки/год корректировки. Указывается фактический год проведения закупки. Пример - 2012. После проведения соответствующих корректировок  дополнительно указывается год проведения корректировки. Пример 2012/2013, 2012/2015</t>
  </si>
  <si>
    <t>Примечание. Указывается графа, в которой произошли изменения по соответствующей строке плана закупок. Пример - 18.</t>
  </si>
  <si>
    <t>С изменеиями и дополнениями от _________________2015 г № _______</t>
  </si>
  <si>
    <t>Ф.И.О. и должность ответственного лица, заполнившего данную форму и контактный телефон. Есенбаев Акылбек Есимханович  - заместитель директора департамента организации закупок и мониторинга местного содержания. +7 (7172) 97-98-32</t>
  </si>
  <si>
    <t>Очищает и дезинфицирует все моющие поверхности. В пластиковой упаковке, объемом 500 мл. Состав: &lt;5% неионогенные ПАВ; консерванты, ароматизирующие добавки,
цитраль, цитронеллол, гераниол, гексилкоричный альдегид, лимонен,
линалоол.</t>
  </si>
  <si>
    <t>Средство для стекол и других поверхностей с нашатырным спиртом.
Чистота и блеск без разводов.
Благодаря входящему в состав спирту, он эффективно удаляет грязь и жир,
придает поверхности блеск и не оставляет разводов.
Идеально подходит для окон, зеркал, кафеля, автомобильных стекол,
панелей бытовых электроприборов, поверхности холодильника. В пластмассовой бутылке с распылителем, объемом: 500 мл.</t>
  </si>
  <si>
    <t>Утвержден решением Наблюдательного совета ТОО "КазМунайГаз-Сервис" № 1/2014 (59)) от 4  февраля 2014 года</t>
  </si>
  <si>
    <t xml:space="preserve"> Дополнения утверждены решением Наблюдательного совета ТОО "КазМунайГаз-Сервис" №3/2015(81) от 17-18 марта 2015 года</t>
  </si>
  <si>
    <t>1-1 Т</t>
  </si>
  <si>
    <t>май-июнь</t>
  </si>
  <si>
    <t>2-1 Т</t>
  </si>
  <si>
    <t>9,15,16,17</t>
  </si>
  <si>
    <t>3-1 Т</t>
  </si>
  <si>
    <t>4-1 Т</t>
  </si>
  <si>
    <t>5-1 Т</t>
  </si>
  <si>
    <t>6-1 Т</t>
  </si>
  <si>
    <t>7-1 Т</t>
  </si>
  <si>
    <t>8-1 Т</t>
  </si>
  <si>
    <t>9-1 Т</t>
  </si>
  <si>
    <t>10-1 Т</t>
  </si>
  <si>
    <t>11-1 Т</t>
  </si>
  <si>
    <t>12-1 Т</t>
  </si>
  <si>
    <t>13-1 Т</t>
  </si>
  <si>
    <t>14-1 Т</t>
  </si>
  <si>
    <t>15-1 Т</t>
  </si>
  <si>
    <t>16-1 Т</t>
  </si>
  <si>
    <t>17-1 Т</t>
  </si>
  <si>
    <t>18-1 Т</t>
  </si>
  <si>
    <t>19-1 Т</t>
  </si>
  <si>
    <t>20-1 Т</t>
  </si>
  <si>
    <t>22-1 Т</t>
  </si>
  <si>
    <t>23-1 Т</t>
  </si>
  <si>
    <t>24-1 Т</t>
  </si>
  <si>
    <t>исключена</t>
  </si>
  <si>
    <t>27-1 Т</t>
  </si>
  <si>
    <t>28-1 Т</t>
  </si>
  <si>
    <t>29-1 Т</t>
  </si>
  <si>
    <t>30-1 Т</t>
  </si>
  <si>
    <t>31-1 Т</t>
  </si>
  <si>
    <t>32-1 Т</t>
  </si>
  <si>
    <t>33-1 Т</t>
  </si>
  <si>
    <t>34-1 Т</t>
  </si>
  <si>
    <t>36-1 Т</t>
  </si>
  <si>
    <t>38-1 Т</t>
  </si>
  <si>
    <t xml:space="preserve"> Дополнения утверждены решением Наблюдательного совета ТОО "КазМунайГаз-Сервис" №4/2015(82) от 13-14 мая 2015 года</t>
  </si>
  <si>
    <t>2 У</t>
  </si>
  <si>
    <t>69.20.10.10.00.00.00</t>
  </si>
  <si>
    <t>Услуги по проведению ревизий финансовых</t>
  </si>
  <si>
    <t>Услуги по проведению ревизий финансовых (аудита)</t>
  </si>
  <si>
    <t>Аудит отдельной и консолидированной финансовой отчетности ТОО "КазМунайГаз-Сервис"</t>
  </si>
  <si>
    <t>май-июнь 2015 г</t>
  </si>
  <si>
    <t>1-1 У</t>
  </si>
  <si>
    <t>14,16,17</t>
  </si>
  <si>
    <t>3 У</t>
  </si>
  <si>
    <t>66.19.31.00.00.00.01</t>
  </si>
  <si>
    <t>Услуги по доверительному управлению</t>
  </si>
  <si>
    <t>Услуги по доверительному управлению автотранспортных средств</t>
  </si>
  <si>
    <t xml:space="preserve"> Дополнения и изменения  утверждены Приказом генерального директора  № 258 от 27.05.2015 года</t>
  </si>
  <si>
    <t>Примечание</t>
  </si>
  <si>
    <t>2-2 Т</t>
  </si>
  <si>
    <t>1-2 Т</t>
  </si>
  <si>
    <t>3-2 Т</t>
  </si>
  <si>
    <t>ОТ</t>
  </si>
  <si>
    <t>7,9,14,16,17</t>
  </si>
  <si>
    <t>4-2 Т</t>
  </si>
  <si>
    <t>5-2 Т</t>
  </si>
  <si>
    <t>6-2 Т</t>
  </si>
  <si>
    <t>7-2 Т</t>
  </si>
  <si>
    <t>8-2 Т</t>
  </si>
  <si>
    <t>9-2 Т</t>
  </si>
  <si>
    <t>10-2 Т</t>
  </si>
  <si>
    <t>11-2 Т</t>
  </si>
  <si>
    <t>12-2 Т</t>
  </si>
  <si>
    <t>14-2 Т</t>
  </si>
  <si>
    <t>15-2 Т</t>
  </si>
  <si>
    <t>16-2 Т</t>
  </si>
  <si>
    <t>17-2 Т</t>
  </si>
  <si>
    <t>18-2 Т</t>
  </si>
  <si>
    <t>19-2 Т</t>
  </si>
  <si>
    <t>20-2 Т</t>
  </si>
  <si>
    <t>21-1 Т</t>
  </si>
  <si>
    <t>21-2 Т</t>
  </si>
  <si>
    <t>22-2 Т</t>
  </si>
  <si>
    <t>23-2 Т</t>
  </si>
  <si>
    <t>24-2 Т</t>
  </si>
  <si>
    <t>27-2 Т</t>
  </si>
  <si>
    <t>28-2 Т</t>
  </si>
  <si>
    <t>29-2 Т</t>
  </si>
  <si>
    <t>30-2 Т</t>
  </si>
  <si>
    <t>31-2 Т</t>
  </si>
  <si>
    <t>32-2 Т</t>
  </si>
  <si>
    <t>33-2 Т</t>
  </si>
  <si>
    <t>34-2 Т</t>
  </si>
  <si>
    <t>36-2 Т</t>
  </si>
  <si>
    <t>38-2 Т</t>
  </si>
  <si>
    <t>13-2 Т</t>
  </si>
  <si>
    <t>77.11.10.10.00.00.00</t>
  </si>
  <si>
    <t>4 У</t>
  </si>
  <si>
    <t>Услуги по аренде легковых автомобилей без водителя</t>
  </si>
  <si>
    <t>Краткосрочная, среднесрочная или догосрочная аренда (прокат) легковых автомобилей без водителя</t>
  </si>
  <si>
    <t>Услуги по аренде легковых автомобилей без водителя в г. Астана (автомобиль повышенной проходимости, представительского класса - 1 ед., объем двигателя – не менее 4590 куб.см, расчетный ежемесячный пробег - 3900 км, 6-дневная рабочая неделя)</t>
  </si>
  <si>
    <t>июнь-июль 2015 г</t>
  </si>
  <si>
    <t>Услуги по аренде легковых автомобилей без водителя в г. Астана (автомобиль повышенной проходимости, представительского класса - 2 ед., объем двигателя – не менее 5660 куб.см, расчетный ежемесячный пробег - 3900 км, 6-дневная рабочая неделя)</t>
  </si>
  <si>
    <t>5 У</t>
  </si>
  <si>
    <t xml:space="preserve"> Дополнения и изменения  утверждены Приказом генерального директора  № 297 от 19.06.2015 года</t>
  </si>
  <si>
    <t>май-июнь,июль-август</t>
  </si>
  <si>
    <t>Изменения  утверждены Приказом генерального директора  № 437 от 15.09.2015 года</t>
  </si>
  <si>
    <t>6 У</t>
  </si>
  <si>
    <t>84.25.11.000.001.00.0777.000000000000</t>
  </si>
  <si>
    <t>Услуги по тушению пожаров/предупреждению пожаров</t>
  </si>
  <si>
    <t>Услуги по обеспечению пожарной безопасности на объектах, расположенных в г. Астана. (Административные и жилые здания по адресу: 1) пр. Кабанбай батыра 19;2) ул. Кунаева 8, «Изумрудный квартал», блок Б)</t>
  </si>
  <si>
    <t>ноябрь-декабрь 2015 г</t>
  </si>
  <si>
    <t>Услуги по обеспечению пожарной безопасности на объектах, расположенных в с. Зеренда 
Акмолинской области:                                                           1) ОК «Сункар»; 
2) ОК «Малиновый Мыс»;                                                  3) ОК "Зеренда";                                                                         4) вертолетная площадка</t>
  </si>
  <si>
    <t>7 У</t>
  </si>
  <si>
    <t>8 У</t>
  </si>
  <si>
    <t>80.10.12.000.000.00.0777.000000000000</t>
  </si>
  <si>
    <t>Услуги охраны</t>
  </si>
  <si>
    <t>Услуги охраны (патрулирование/охрана объектов/помещений/имущества/людей и аналогичное)</t>
  </si>
  <si>
    <t>Услуги по вневедомственной охране стационарных объектов, а также персонала и имущества расположенных на этих объектах, от противоправных посягательствна объектах, расположенных в г. Астана по адресу:                                    1) ул. Кунаева 8, «Изумрудный квартал», блок Б;
2) пр. Республики 32;
3) ул. Ауэзова 18;</t>
  </si>
  <si>
    <t>9 У</t>
  </si>
  <si>
    <t xml:space="preserve">Услуги по вневедомственной охране стационарных объектов, а также персонала и имущества расположенных на этих объектах, от противоправных посягательствна объектах, расположенных в с. Зеренда 
Акмолинской области:                                                           1) ОК «Сункар»; 
2) ОК «Малиновый Мыс».            </t>
  </si>
  <si>
    <t>10 У</t>
  </si>
  <si>
    <t>33.12.15.200.000.00.0777.000000000000</t>
  </si>
  <si>
    <t>Услуги по техническому обслуживанию лифтов/лифтовых шахт и аналогичного оборудования</t>
  </si>
  <si>
    <t xml:space="preserve">Услуги по техническому обслуживанию и уходу лифтов и лифтовых шахт на объектах, расположенных в г. Астана
(Административные и жилые здания по адресу: 
1) пр. Кабанбай батыра 19 (12 лифтов)
2) пр. Туран 1 (2 лифта)
3) ул. Кунаева 8 «Изумрудный квартал», блок Б (21 лифт);
4) пр. Республики 32 (2 лифта);
5) ЖК «Нурлы дала» (4 лифта) </t>
  </si>
  <si>
    <t>11 У</t>
  </si>
  <si>
    <t>Услуги по техническому обслуживанию и уходу лифтов и лифтовых шахт на объекте ОК «Зеренда», 
расположенном в с. Зеренда, Акмолинской области
(2 лифта)</t>
  </si>
  <si>
    <t>12 У</t>
  </si>
  <si>
    <t>38.11.29.000.000.00.0777.000000000000</t>
  </si>
  <si>
    <t>Услуги по вывозу (сбору) неопасных отходов/имущества/материалов</t>
  </si>
  <si>
    <t>Услуги погрузки отходов на мусоровоз и разгрузки в специально отведенных местах, с объектов, расположенных в г. Астана Административные и жилые здания по адресу: 
1) пр. Кабанбай батыра 19 (386,1 м3 в мес)
2) пр. Туран 1 (57,2 м3 в мес)
3) ул. Кунаева 8, «Изумрудный квартал», блок Б
 (286 м3 в мес);
4) пр. Республики 32 (57,2 м3 в мес);
5) ул. Ауэзова 18 (14,3 м3 в мес);
6) ЖК «Нурлы дала» (14,3 м3 мес )
7) ул. Габдуллина, 2 (8,8 м3 мес )</t>
  </si>
  <si>
    <t>13 У</t>
  </si>
  <si>
    <t>Услуги погрузки отходов на мусоровоз и разгрузки 
в специально отведенных местах, с объектов, 
расположенных в с. Зеренда 
Акмолинской области (696 м3 мес).</t>
  </si>
  <si>
    <t>14 У</t>
  </si>
  <si>
    <t>80.20.10.000.002.00.0777.000000000000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</si>
  <si>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</si>
  <si>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Обслуживание систем пожарной безопасности на объектах, принадлежащих и/или обслуживаемых ТОО «КазМунайГаз-Сервис», расположенных в г. Астана 
Административные здания по адресу: 
1) пр. Кабанбай батыра, 19 блок Б
2) пр. Туран, 1
3) ул. Кунаева, 8 «Изумрудный квартал», блок Б; 
4) пр. Республики, 32; 
5) ул. Ауэзова, 18.</t>
  </si>
  <si>
    <t>15 У</t>
  </si>
  <si>
    <t>Обслуживание систем пожарной безопасности на объектах, расположенных в с. Зеренда, Акмолинской области: 
1) ОК «Сункар»; 
2) ОК «Малиновый Мыс».</t>
  </si>
  <si>
    <t>16 У</t>
  </si>
  <si>
    <t>33.13.11.100.014.00.0777.000000000000</t>
  </si>
  <si>
    <t>Услуги по техническому обслуживанию контрольно-измерительных приборов и автоматики и аналогичных измерительных средств и оборудования</t>
  </si>
  <si>
    <t>Услуги по техническому сервисному обслуживанию систем учета тепловой энергии и автоматизированных систем учета регулирования на объектах, принадлежащих и/или обслуживаемых 
ТОО «КазМунайГаз-Сервис», расположенных в г. Астана Административные и жилые здания по адресу: 
1) пр. Кабанбай батыра, 19
2) ул. Ауэзова, 18; 
3) ул. Кунаева, 8 «Изумрудный квартал», блок Б; 
4) ул. Габдуллина, 2
5) ЖК «Нурлы дала»</t>
  </si>
  <si>
    <t>17 У</t>
  </si>
  <si>
    <t>45.20.30.335.003.00.0777.000000000000</t>
  </si>
  <si>
    <t>Услуги по мойке автотранспорта/спецтехники</t>
  </si>
  <si>
    <t xml:space="preserve">Комплекс услуг по мойке автотранспорта </t>
  </si>
  <si>
    <t>18 У</t>
  </si>
  <si>
    <t>96.09.19.900.012.00.0777.000000000000</t>
  </si>
  <si>
    <t>Услуги по техническому обслуживанию дверей/ворот/турникетных систем/ограждений и аналогичных изделий</t>
  </si>
  <si>
    <t>Услуги по обслуживанию оборудования системы контроля 
и ограничения доступа на объекте, 
обслуживаемом ТОО «КазМунайГаз-Сервис», расположенном 
в г. Астане, по ул. Кунаева 8, «Изумрудный квартал», блок Б</t>
  </si>
  <si>
    <t>19 У</t>
  </si>
  <si>
    <t>96.09.19.900.009.00.0777.000000000000</t>
  </si>
  <si>
    <t>Услуги по техническому обслуживанию душевых/туалетных кабин/кабин для курения и аналогичного оборудования</t>
  </si>
  <si>
    <t xml:space="preserve">Сервисное обслуживание кабины для курения на объектах, принадлежащих и/или обслуживаемых ТОО «КазМунайГаз-Сервис», расположенных в г. Астана: 
Административные здания по адресу: 
1) пр. Кабанбай батыра, 19
2) ул. Кунаева, 8 «Изумрудный квартал», блок Б.
</t>
  </si>
  <si>
    <t>20 У</t>
  </si>
  <si>
    <t>96.01.19.000.000.00.0777.000000000000</t>
  </si>
  <si>
    <t>Услуги по чистке одежды/ковровых и аналогичных изделий (кроме прачечных услуг)</t>
  </si>
  <si>
    <t>Сухая (химическая) чистка текстильных изделий прочих на объектах, принадлежащих и/или обслуживаемых ТОО «КазМунайГаз-Сервис», расположенных в г. Астана: 
Административные здания по адресу: 
1) пр. Кабанбай батыра, 19
2) ул. Кунаева, 8 «Изумрудный квартал», блок Б;
3) пр. Туран, 1</t>
  </si>
  <si>
    <t>21 У</t>
  </si>
  <si>
    <t>81.29.13.000.001.00.0777.000000000000</t>
  </si>
  <si>
    <t>Услуги санитарные (дезинфекция, дезинсекция, дератизация и аналогичные)</t>
  </si>
  <si>
    <t>Услуги по дезинфекции, дезинсекции и дератизации на объектах, расположенных в г. Астана 
Административные и жилые здания по адресу: 
1) пр. Кабанбай батыра, 19 
2) пр. Туран, 1
3) ул. Кунаева 8, «Изумрудный квартал», блок Б; 
4) пр. Республики, 32; 
5) ул. Ауэзова, 18; 
6) ЖК «Нурлы дала»
7) ул. Габдуллина, 2</t>
  </si>
  <si>
    <t>22 У</t>
  </si>
  <si>
    <t>Услуги по дезинфекции, дезинсекции и дератизации 
на объектах Зерендинского филиала</t>
  </si>
  <si>
    <t>23 У</t>
  </si>
  <si>
    <t>68.20.12.970.000.00.0777.000000000000</t>
  </si>
  <si>
    <t>Услуги по аренде гаража</t>
  </si>
  <si>
    <t>Услуги по аренде гаража для автотранспорта 
Товарищества г. Астана с офисом и складами, 
а также со всеми расходами по эксплуатации (125 ед. транспорта)</t>
  </si>
  <si>
    <t>24 У</t>
  </si>
  <si>
    <t>2. Работы</t>
  </si>
  <si>
    <t xml:space="preserve"> оплата по факту выполнения работ</t>
  </si>
  <si>
    <t>работа</t>
  </si>
  <si>
    <t>1 Р</t>
  </si>
  <si>
    <t>45.20.21.000.001.00.0999.000000000000</t>
  </si>
  <si>
    <t>Работы по ремонту автотранспортных средств, систем, узлов и агрегатов</t>
  </si>
  <si>
    <t>Ремонт автотранспорта 
с заменой запчастей в г. Астана</t>
  </si>
  <si>
    <t>2 Р</t>
  </si>
  <si>
    <t>Ремонт автотранспорта
с заменой запчастей в г. Алматы</t>
  </si>
  <si>
    <t>г.Алматы</t>
  </si>
  <si>
    <t>3 Р</t>
  </si>
  <si>
    <t>Ремонт автотранспорта
с заменой запчастей в п. Зеренда</t>
  </si>
  <si>
    <t>33.12.18.200.000.00.0777.000000000000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</si>
  <si>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</si>
  <si>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Услуги по техническому обслуживанию системы JET-вентиляции и кондиционирования, с их ежегодной поверкой в паркинге административного здания «Изумрудный квартал», блок Б</t>
  </si>
  <si>
    <t>25 У</t>
  </si>
  <si>
    <t>53.10.12.900.000.00.0777.000000000000</t>
  </si>
  <si>
    <t>Услуги почтовые, связанные с письмами</t>
  </si>
  <si>
    <t>Услуги экспресс почты по пересылке отправлений EMS по Республике Казахстан, странам ближнего и дальнего зарубежья</t>
  </si>
  <si>
    <t>Дополнения утверждены Приказом  и.о генерального директора  № 518 от 19.11.2015 года</t>
  </si>
  <si>
    <t>26 У</t>
  </si>
  <si>
    <t>74.90.20.000.061.00.0777.000000000000</t>
  </si>
  <si>
    <t>Услуги мониторинга за автотранспортными средствами посредством системы GPS-мониторинга</t>
  </si>
  <si>
    <t>Дополнения утверждены Приказом  и.о генерального директора  № 524 от 20.11.2015 года</t>
  </si>
  <si>
    <t>9-1 У</t>
  </si>
  <si>
    <t>14,15,16</t>
  </si>
  <si>
    <t>16-1 У</t>
  </si>
  <si>
    <t>Услуги по техническому сервисному обслуживанию систем учета тепловой энергии и автоматизированных систем учета регулирования на объектах, принадлежащих и/или обслуживаемых 
ТОО «КазМунайГаз-Сервис», расположенных в г. Астана Административные и жилые здания по адресу: 
1) пр. Кабанбай батыра, 19
2) ул. Ауэзова, 18; 
3) ул. Кунаева, 8 «Изумрудный квартал», блок Б; 
4) ул. Габдуллина, 2
5) ЖК «Нурлы дала»                                                                                                                                                 6) пр. Туран, 1</t>
  </si>
  <si>
    <t>26-1 У</t>
  </si>
  <si>
    <t>Услуги по техническому обслуживанию оборудования системы GPS-мониторинга транспорта</t>
  </si>
  <si>
    <t>27 У</t>
  </si>
  <si>
    <t>61.10.11.200.000.00.0777.000000000000</t>
  </si>
  <si>
    <t>Услуги телефонной связи</t>
  </si>
  <si>
    <t>Услуги фиксированной местной, междугородней, международной телефонной связи  - доступ и пользование</t>
  </si>
  <si>
    <t>28 У</t>
  </si>
  <si>
    <t>61.10.43.100.000.00.0777.000000000000</t>
  </si>
  <si>
    <t>Услуги по доступу к Интернету</t>
  </si>
  <si>
    <t>Услуги, направленные на предоставление доступа к Интернету широкополосному по сетям проводным</t>
  </si>
  <si>
    <t xml:space="preserve"> Дополнения и изменения  утверждены Приказом генерального директора  № 582 от 15.12.2015 года</t>
  </si>
  <si>
    <t>Изменения  утверждены Приказом генерального директора  № 54 от 18.02.2016 года</t>
  </si>
  <si>
    <t>9,14,16,17</t>
  </si>
  <si>
    <t>1-1 Р</t>
  </si>
  <si>
    <t>ноябрь-декабрь, февраль</t>
  </si>
  <si>
    <t>2-1 Р</t>
  </si>
  <si>
    <t>ноябрь-декабрь, февраль-март</t>
  </si>
  <si>
    <t>3-1 Р</t>
  </si>
  <si>
    <t>13-1 У</t>
  </si>
  <si>
    <t>18-1 У</t>
  </si>
  <si>
    <t>28-1 У</t>
  </si>
  <si>
    <t>ноябрь-декабрь,март</t>
  </si>
  <si>
    <t>9,14,15,16</t>
  </si>
  <si>
    <t>Изменения  утверждены Приказом генерального директора  № 82 от 28.02.2016 года</t>
  </si>
  <si>
    <t>19-1 У</t>
  </si>
  <si>
    <t>ноябрь-декабрь, апрель-май</t>
  </si>
  <si>
    <t>Изменения  утверждены Приказом генерального директора  № 127 от 01.04.2016 года</t>
  </si>
  <si>
    <t>26-2 У</t>
  </si>
  <si>
    <t>9,14,16,17,20</t>
  </si>
  <si>
    <t>ноябрь-декабрь 2015 г.,май-июнь 2016 г.</t>
  </si>
  <si>
    <t>Изменения  утверждены Приказом и.о генерального директора  № 259 от 31.05.2016 года</t>
  </si>
  <si>
    <t>29 У</t>
  </si>
  <si>
    <t>77.40.12.000.000.00.0777.000000000000</t>
  </si>
  <si>
    <t>Услуги по предоставлению лицензий на право использования торговых знаков и привилегий</t>
  </si>
  <si>
    <t>Предоставление лицензий на право использования торговых знаков и привилегий в соответствии с договорами гражданско-правового характера</t>
  </si>
  <si>
    <t>Изменения  утверждены Приказом генерального директора  № 434 от 24.08.2016 года</t>
  </si>
  <si>
    <t>14-3 Т</t>
  </si>
  <si>
    <t>15,16,17</t>
  </si>
  <si>
    <t>15-3 Т</t>
  </si>
  <si>
    <t>16-3 Т</t>
  </si>
  <si>
    <t>17-3 Т</t>
  </si>
  <si>
    <t>18-3 Т</t>
  </si>
  <si>
    <t>19-3 Т</t>
  </si>
  <si>
    <t>20-3 Т</t>
  </si>
  <si>
    <t>21-3 Т</t>
  </si>
  <si>
    <t>Изменения  утверждены Приказом генерального директора  №410 от 28.09.2016 года</t>
  </si>
  <si>
    <t>30 У</t>
  </si>
  <si>
    <t>42.11.20.335.019.00.0777.000000000000</t>
  </si>
  <si>
    <t>Услуги по содержанию зданий</t>
  </si>
  <si>
    <t>2019 г.</t>
  </si>
  <si>
    <t>август-сентябрь 2016 г.</t>
  </si>
  <si>
    <t>ноябрь-декабрь 2016 г.</t>
  </si>
  <si>
    <t xml:space="preserve">План долгосрочных  закупок товаров, работ и услуг ТОО "КазМунайГаз-Сервис" </t>
  </si>
  <si>
    <t>Услуги по комплексному обслуживанию административного здания "Изумрудный квартал" (Блок Б) и прилегающей территории</t>
  </si>
  <si>
    <t>Директор департамента организации закупок и мониторинга местного содержания Шушаков Е.Е. (8 (7172) 97-43-44)</t>
  </si>
  <si>
    <t>Дополнения  утверждены Приказом генерального директора  №451 от 01.11.2016 года</t>
  </si>
  <si>
    <t>31 У</t>
  </si>
  <si>
    <t>69.10.19.000.000.00.0777.000000000000</t>
  </si>
  <si>
    <t>Услуги юридические</t>
  </si>
  <si>
    <t>услуги по координации вопросов и осуществлению мероприятий, связанных с урегулированием спора между Заказчиком и акционерами</t>
  </si>
  <si>
    <t>Дополнения  утверждены Приказом генерального директора  №456 от 02.11.2016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</si>
</sst>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_р_._-;\-* #,##0_р_._-;_-* &quot;-&quot;??_р_._-;_-@_-"/>
    <numFmt numFmtId="166" formatCode="_(* #,##0.00_);_(* \(#,##0.00\);_(* &quot;-&quot;??_);_(@_)"/>
  </numFmts>
  <fonts count="22" x14ac:knownFonts="1"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87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9" fontId="3" fillId="2" borderId="2" xfId="2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164" fontId="3" fillId="2" borderId="2" xfId="4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/>
    </xf>
    <xf numFmtId="0" fontId="3" fillId="0" borderId="2" xfId="2" applyFont="1" applyFill="1" applyBorder="1"/>
    <xf numFmtId="3" fontId="3" fillId="2" borderId="2" xfId="0" applyNumberFormat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/>
    </xf>
    <xf numFmtId="3" fontId="3" fillId="2" borderId="12" xfId="0" applyNumberFormat="1" applyFont="1" applyFill="1" applyBorder="1" applyAlignment="1">
      <alignment horizontal="center" vertical="center" wrapText="1"/>
    </xf>
    <xf numFmtId="0" fontId="3" fillId="2" borderId="2" xfId="2" applyFont="1" applyFill="1" applyBorder="1"/>
    <xf numFmtId="3" fontId="6" fillId="0" borderId="2" xfId="0" applyNumberFormat="1" applyFont="1" applyFill="1" applyBorder="1" applyAlignment="1">
      <alignment horizontal="center" vertical="center" wrapText="1"/>
    </xf>
    <xf numFmtId="9" fontId="3" fillId="2" borderId="2" xfId="2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65" fontId="6" fillId="0" borderId="2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top"/>
    </xf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right" vertical="top" wrapText="1"/>
    </xf>
    <xf numFmtId="0" fontId="8" fillId="0" borderId="0" xfId="0" applyFont="1" applyFill="1" applyAlignment="1">
      <alignment horizontal="right" vertical="top" wrapText="1"/>
    </xf>
    <xf numFmtId="0" fontId="8" fillId="0" borderId="0" xfId="0" applyFont="1" applyFill="1" applyAlignment="1">
      <alignment vertical="top" wrapText="1"/>
    </xf>
    <xf numFmtId="0" fontId="7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right" vertical="top" wrapText="1"/>
    </xf>
    <xf numFmtId="164" fontId="7" fillId="0" borderId="1" xfId="1" applyFont="1" applyFill="1" applyBorder="1" applyAlignment="1">
      <alignment horizontal="right" vertical="top" wrapText="1"/>
    </xf>
    <xf numFmtId="0" fontId="9" fillId="0" borderId="2" xfId="2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4" fontId="9" fillId="0" borderId="2" xfId="1" applyNumberFormat="1" applyFont="1" applyFill="1" applyBorder="1" applyAlignment="1">
      <alignment horizontal="left" vertical="center" wrapText="1"/>
    </xf>
    <xf numFmtId="4" fontId="9" fillId="0" borderId="2" xfId="3" applyNumberFormat="1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4" fontId="6" fillId="0" borderId="2" xfId="0" applyNumberFormat="1" applyFont="1" applyFill="1" applyBorder="1" applyAlignment="1">
      <alignment horizontal="right" vertical="center" wrapText="1"/>
    </xf>
    <xf numFmtId="3" fontId="6" fillId="0" borderId="2" xfId="0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>
      <alignment horizontal="right" vertical="center" wrapText="1"/>
    </xf>
    <xf numFmtId="0" fontId="9" fillId="0" borderId="2" xfId="3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right" vertical="center" wrapText="1"/>
    </xf>
    <xf numFmtId="164" fontId="9" fillId="0" borderId="2" xfId="0" applyNumberFormat="1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vertical="center"/>
    </xf>
    <xf numFmtId="0" fontId="3" fillId="0" borderId="11" xfId="2" applyFont="1" applyFill="1" applyBorder="1" applyAlignment="1">
      <alignment vertical="center"/>
    </xf>
    <xf numFmtId="0" fontId="3" fillId="0" borderId="12" xfId="2" applyFont="1" applyFill="1" applyBorder="1" applyAlignment="1">
      <alignment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/>
    </xf>
    <xf numFmtId="166" fontId="3" fillId="0" borderId="2" xfId="1" applyNumberFormat="1" applyFont="1" applyFill="1" applyBorder="1" applyAlignment="1">
      <alignment horizontal="center" vertical="center"/>
    </xf>
    <xf numFmtId="166" fontId="10" fillId="0" borderId="2" xfId="1" applyNumberFormat="1" applyFont="1" applyFill="1" applyBorder="1" applyAlignment="1">
      <alignment horizontal="center" vertical="center"/>
    </xf>
    <xf numFmtId="0" fontId="3" fillId="0" borderId="2" xfId="2" applyFont="1" applyFill="1" applyBorder="1" applyAlignment="1">
      <alignment vertical="center"/>
    </xf>
    <xf numFmtId="0" fontId="3" fillId="0" borderId="0" xfId="2" applyFont="1" applyFill="1" applyBorder="1" applyAlignment="1">
      <alignment vertical="center"/>
    </xf>
    <xf numFmtId="0" fontId="6" fillId="0" borderId="0" xfId="0" applyNumberFormat="1" applyFont="1" applyFill="1" applyBorder="1"/>
    <xf numFmtId="0" fontId="9" fillId="0" borderId="0" xfId="0" applyNumberFormat="1" applyFont="1" applyFill="1" applyBorder="1"/>
    <xf numFmtId="0" fontId="6" fillId="0" borderId="13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6" fillId="0" borderId="15" xfId="0" applyNumberFormat="1" applyFont="1" applyFill="1" applyBorder="1" applyAlignment="1">
      <alignment horizontal="left"/>
    </xf>
    <xf numFmtId="0" fontId="11" fillId="0" borderId="0" xfId="0" applyFont="1"/>
    <xf numFmtId="0" fontId="8" fillId="0" borderId="0" xfId="0" applyFont="1" applyFill="1" applyAlignment="1">
      <alignment horizontal="right" vertical="top" wrapText="1"/>
    </xf>
    <xf numFmtId="0" fontId="12" fillId="0" borderId="0" xfId="0" applyNumberFormat="1" applyFont="1" applyFill="1" applyBorder="1"/>
    <xf numFmtId="0" fontId="13" fillId="0" borderId="0" xfId="0" applyNumberFormat="1" applyFont="1" applyFill="1" applyBorder="1"/>
    <xf numFmtId="0" fontId="14" fillId="0" borderId="0" xfId="0" applyNumberFormat="1" applyFont="1" applyFill="1" applyBorder="1" applyAlignment="1">
      <alignment wrapText="1"/>
    </xf>
    <xf numFmtId="0" fontId="14" fillId="0" borderId="0" xfId="0" applyNumberFormat="1" applyFont="1" applyFill="1" applyBorder="1"/>
    <xf numFmtId="0" fontId="15" fillId="0" borderId="0" xfId="0" applyNumberFormat="1" applyFont="1" applyFill="1" applyBorder="1"/>
    <xf numFmtId="0" fontId="16" fillId="0" borderId="0" xfId="0" applyNumberFormat="1" applyFont="1" applyFill="1" applyBorder="1"/>
    <xf numFmtId="0" fontId="17" fillId="0" borderId="0" xfId="0" applyNumberFormat="1" applyFont="1" applyFill="1" applyBorder="1"/>
    <xf numFmtId="0" fontId="18" fillId="0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left" wrapText="1"/>
    </xf>
    <xf numFmtId="0" fontId="19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 applyAlignment="1">
      <alignment horizontal="left"/>
    </xf>
    <xf numFmtId="0" fontId="20" fillId="0" borderId="0" xfId="0" applyNumberFormat="1" applyFont="1" applyFill="1" applyBorder="1"/>
    <xf numFmtId="0" fontId="13" fillId="0" borderId="0" xfId="0" applyNumberFormat="1" applyFont="1" applyFill="1" applyBorder="1" applyAlignment="1">
      <alignment wrapText="1"/>
    </xf>
    <xf numFmtId="49" fontId="13" fillId="0" borderId="0" xfId="0" applyNumberFormat="1" applyFont="1" applyFill="1" applyBorder="1"/>
    <xf numFmtId="0" fontId="5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 wrapText="1"/>
    </xf>
    <xf numFmtId="0" fontId="3" fillId="2" borderId="2" xfId="2" applyFont="1" applyFill="1" applyBorder="1" applyAlignment="1">
      <alignment wrapText="1"/>
    </xf>
    <xf numFmtId="165" fontId="6" fillId="2" borderId="2" xfId="1" applyNumberFormat="1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vertical="center"/>
    </xf>
    <xf numFmtId="0" fontId="3" fillId="2" borderId="11" xfId="2" applyFont="1" applyFill="1" applyBorder="1" applyAlignment="1">
      <alignment vertical="center"/>
    </xf>
    <xf numFmtId="0" fontId="3" fillId="2" borderId="12" xfId="2" applyFont="1" applyFill="1" applyBorder="1" applyAlignment="1">
      <alignment vertical="center" wrapText="1"/>
    </xf>
    <xf numFmtId="0" fontId="3" fillId="2" borderId="2" xfId="2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0" fontId="8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165" fontId="3" fillId="2" borderId="2" xfId="1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9" fontId="3" fillId="0" borderId="2" xfId="2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64" fontId="3" fillId="0" borderId="2" xfId="4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top" wrapText="1"/>
    </xf>
    <xf numFmtId="0" fontId="9" fillId="0" borderId="2" xfId="2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/>
    </xf>
    <xf numFmtId="164" fontId="6" fillId="0" borderId="0" xfId="1" applyFont="1" applyFill="1" applyBorder="1"/>
    <xf numFmtId="164" fontId="7" fillId="0" borderId="0" xfId="1" applyFont="1" applyFill="1" applyAlignment="1">
      <alignment horizontal="right" vertical="top" wrapText="1"/>
    </xf>
    <xf numFmtId="164" fontId="7" fillId="0" borderId="0" xfId="1" applyFont="1" applyFill="1" applyBorder="1" applyAlignment="1">
      <alignment horizontal="right"/>
    </xf>
    <xf numFmtId="164" fontId="7" fillId="0" borderId="0" xfId="1" applyFont="1" applyFill="1" applyAlignment="1">
      <alignment horizontal="left" vertical="top"/>
    </xf>
    <xf numFmtId="164" fontId="9" fillId="0" borderId="2" xfId="1" applyFont="1" applyFill="1" applyBorder="1" applyAlignment="1">
      <alignment horizontal="center" vertical="top" wrapText="1"/>
    </xf>
    <xf numFmtId="164" fontId="9" fillId="0" borderId="2" xfId="1" applyFont="1" applyFill="1" applyBorder="1" applyAlignment="1">
      <alignment horizontal="center" vertical="center" wrapText="1"/>
    </xf>
    <xf numFmtId="164" fontId="7" fillId="0" borderId="2" xfId="1" applyFont="1" applyFill="1" applyBorder="1" applyAlignment="1">
      <alignment horizontal="center" vertical="center"/>
    </xf>
    <xf numFmtId="164" fontId="9" fillId="0" borderId="2" xfId="1" applyFont="1" applyFill="1" applyBorder="1" applyAlignment="1">
      <alignment horizontal="left" vertical="center" wrapText="1"/>
    </xf>
    <xf numFmtId="164" fontId="6" fillId="0" borderId="2" xfId="1" applyFont="1" applyFill="1" applyBorder="1" applyAlignment="1">
      <alignment horizontal="center" vertical="center" wrapText="1"/>
    </xf>
    <xf numFmtId="164" fontId="3" fillId="0" borderId="2" xfId="1" applyFont="1" applyFill="1" applyBorder="1" applyAlignment="1">
      <alignment horizontal="center" vertical="center" wrapText="1"/>
    </xf>
    <xf numFmtId="164" fontId="3" fillId="2" borderId="2" xfId="1" applyFont="1" applyFill="1" applyBorder="1" applyAlignment="1">
      <alignment horizontal="center" vertical="center"/>
    </xf>
    <xf numFmtId="164" fontId="10" fillId="2" borderId="2" xfId="1" applyFont="1" applyFill="1" applyBorder="1" applyAlignment="1">
      <alignment horizontal="center" vertical="center"/>
    </xf>
    <xf numFmtId="164" fontId="9" fillId="2" borderId="2" xfId="1" applyFont="1" applyFill="1" applyBorder="1" applyAlignment="1">
      <alignment horizontal="left" vertical="center" wrapText="1"/>
    </xf>
    <xf numFmtId="164" fontId="6" fillId="2" borderId="2" xfId="1" applyFont="1" applyFill="1" applyBorder="1" applyAlignment="1">
      <alignment horizontal="center" vertical="center" wrapText="1"/>
    </xf>
    <xf numFmtId="164" fontId="3" fillId="2" borderId="2" xfId="1" applyFont="1" applyFill="1" applyBorder="1" applyAlignment="1">
      <alignment horizontal="center" vertical="center" wrapText="1"/>
    </xf>
    <xf numFmtId="164" fontId="9" fillId="2" borderId="2" xfId="1" applyFont="1" applyFill="1" applyBorder="1" applyAlignment="1">
      <alignment horizontal="center" vertical="center" wrapText="1"/>
    </xf>
    <xf numFmtId="164" fontId="9" fillId="2" borderId="2" xfId="1" applyFont="1" applyFill="1" applyBorder="1" applyAlignment="1">
      <alignment horizontal="right" vertical="center" wrapText="1"/>
    </xf>
    <xf numFmtId="164" fontId="14" fillId="0" borderId="0" xfId="1" applyFont="1" applyFill="1" applyBorder="1"/>
    <xf numFmtId="43" fontId="7" fillId="2" borderId="0" xfId="0" applyNumberFormat="1" applyFont="1" applyFill="1" applyAlignment="1">
      <alignment horizontal="center" vertical="center"/>
    </xf>
    <xf numFmtId="43" fontId="3" fillId="2" borderId="0" xfId="2" applyNumberFormat="1" applyFont="1" applyFill="1" applyBorder="1" applyAlignment="1">
      <alignment vertical="center"/>
    </xf>
    <xf numFmtId="0" fontId="7" fillId="0" borderId="0" xfId="0" applyFont="1"/>
    <xf numFmtId="164" fontId="8" fillId="0" borderId="0" xfId="1" applyFont="1" applyFill="1" applyAlignment="1">
      <alignment horizontal="right" vertical="top" wrapText="1"/>
    </xf>
    <xf numFmtId="0" fontId="8" fillId="0" borderId="0" xfId="0" applyFont="1" applyFill="1" applyAlignment="1">
      <alignment horizontal="right" vertical="top" wrapText="1"/>
    </xf>
    <xf numFmtId="0" fontId="9" fillId="0" borderId="3" xfId="2" applyFont="1" applyFill="1" applyBorder="1" applyAlignment="1">
      <alignment horizontal="center" vertical="top" wrapText="1"/>
    </xf>
    <xf numFmtId="0" fontId="9" fillId="0" borderId="5" xfId="2" applyFont="1" applyFill="1" applyBorder="1" applyAlignment="1">
      <alignment horizontal="center" vertical="top" wrapText="1"/>
    </xf>
    <xf numFmtId="0" fontId="9" fillId="0" borderId="4" xfId="2" applyFont="1" applyFill="1" applyBorder="1" applyAlignment="1">
      <alignment horizontal="center" vertical="top" wrapText="1"/>
    </xf>
    <xf numFmtId="164" fontId="11" fillId="0" borderId="0" xfId="1" applyFont="1" applyAlignment="1">
      <alignment horizontal="right" vertical="top" wrapText="1"/>
    </xf>
    <xf numFmtId="0" fontId="11" fillId="0" borderId="0" xfId="0" applyFont="1" applyAlignment="1">
      <alignment horizontal="right" vertical="top" wrapText="1"/>
    </xf>
    <xf numFmtId="164" fontId="9" fillId="0" borderId="6" xfId="1" applyFont="1" applyFill="1" applyBorder="1" applyAlignment="1">
      <alignment horizontal="center" vertical="top" wrapText="1"/>
    </xf>
    <xf numFmtId="164" fontId="9" fillId="0" borderId="16" xfId="1" applyFont="1" applyFill="1" applyBorder="1" applyAlignment="1">
      <alignment horizontal="center" vertical="top" wrapText="1"/>
    </xf>
    <xf numFmtId="164" fontId="9" fillId="0" borderId="8" xfId="1" applyFont="1" applyFill="1" applyBorder="1" applyAlignment="1">
      <alignment horizontal="center" vertical="top" wrapText="1"/>
    </xf>
    <xf numFmtId="164" fontId="9" fillId="0" borderId="7" xfId="1" applyFont="1" applyFill="1" applyBorder="1" applyAlignment="1">
      <alignment horizontal="center" vertical="top" wrapText="1"/>
    </xf>
    <xf numFmtId="164" fontId="9" fillId="0" borderId="1" xfId="1" applyFont="1" applyFill="1" applyBorder="1" applyAlignment="1">
      <alignment horizontal="center" vertical="top" wrapText="1"/>
    </xf>
    <xf numFmtId="164" fontId="9" fillId="0" borderId="9" xfId="1" applyFont="1" applyFill="1" applyBorder="1" applyAlignment="1">
      <alignment horizontal="center" vertical="top" wrapText="1"/>
    </xf>
    <xf numFmtId="164" fontId="7" fillId="0" borderId="13" xfId="1" applyFont="1" applyFill="1" applyBorder="1" applyAlignment="1">
      <alignment horizontal="right"/>
    </xf>
    <xf numFmtId="164" fontId="7" fillId="0" borderId="14" xfId="1" applyFont="1" applyFill="1" applyBorder="1" applyAlignment="1">
      <alignment horizontal="right"/>
    </xf>
    <xf numFmtId="0" fontId="7" fillId="0" borderId="14" xfId="0" applyFont="1" applyFill="1" applyBorder="1" applyAlignment="1">
      <alignment horizontal="right"/>
    </xf>
    <xf numFmtId="0" fontId="7" fillId="0" borderId="15" xfId="0" applyFont="1" applyFill="1" applyBorder="1" applyAlignment="1">
      <alignment horizontal="right"/>
    </xf>
    <xf numFmtId="0" fontId="9" fillId="0" borderId="2" xfId="2" applyFont="1" applyFill="1" applyBorder="1" applyAlignment="1">
      <alignment horizontal="center" vertical="center" wrapText="1"/>
    </xf>
    <xf numFmtId="49" fontId="9" fillId="0" borderId="10" xfId="1" applyNumberFormat="1" applyFont="1" applyFill="1" applyBorder="1" applyAlignment="1">
      <alignment horizontal="center" vertical="center" wrapText="1"/>
    </xf>
    <xf numFmtId="49" fontId="9" fillId="0" borderId="11" xfId="1" applyNumberFormat="1" applyFont="1" applyFill="1" applyBorder="1" applyAlignment="1">
      <alignment horizontal="center" vertical="center" wrapText="1"/>
    </xf>
    <xf numFmtId="49" fontId="9" fillId="0" borderId="12" xfId="1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top" wrapText="1"/>
    </xf>
    <xf numFmtId="164" fontId="21" fillId="0" borderId="0" xfId="1" applyFont="1" applyFill="1" applyAlignment="1">
      <alignment horizontal="center" vertical="top" wrapText="1"/>
    </xf>
    <xf numFmtId="164" fontId="6" fillId="0" borderId="13" xfId="1" applyFont="1" applyFill="1" applyBorder="1" applyAlignment="1">
      <alignment horizontal="right" vertical="top" wrapText="1"/>
    </xf>
    <xf numFmtId="164" fontId="6" fillId="0" borderId="14" xfId="1" applyFont="1" applyFill="1" applyBorder="1" applyAlignment="1">
      <alignment horizontal="right" vertical="top" wrapText="1"/>
    </xf>
    <xf numFmtId="0" fontId="6" fillId="0" borderId="14" xfId="0" applyNumberFormat="1" applyFont="1" applyFill="1" applyBorder="1" applyAlignment="1">
      <alignment horizontal="right" vertical="top" wrapText="1"/>
    </xf>
    <xf numFmtId="0" fontId="6" fillId="0" borderId="15" xfId="0" applyNumberFormat="1" applyFont="1" applyFill="1" applyBorder="1" applyAlignment="1">
      <alignment horizontal="right" vertical="top" wrapText="1"/>
    </xf>
    <xf numFmtId="0" fontId="13" fillId="0" borderId="0" xfId="0" applyNumberFormat="1" applyFont="1" applyFill="1" applyBorder="1" applyAlignment="1">
      <alignment horizontal="left" wrapText="1"/>
    </xf>
    <xf numFmtId="0" fontId="13" fillId="0" borderId="0" xfId="0" applyNumberFormat="1" applyFont="1" applyFill="1" applyBorder="1" applyAlignment="1">
      <alignment horizontal="left" vertical="center" wrapText="1"/>
    </xf>
    <xf numFmtId="0" fontId="9" fillId="0" borderId="6" xfId="2" applyFont="1" applyFill="1" applyBorder="1" applyAlignment="1">
      <alignment horizontal="right" wrapText="1"/>
    </xf>
    <xf numFmtId="0" fontId="9" fillId="0" borderId="16" xfId="2" applyFont="1" applyFill="1" applyBorder="1" applyAlignment="1">
      <alignment horizontal="right" wrapText="1"/>
    </xf>
    <xf numFmtId="0" fontId="9" fillId="0" borderId="8" xfId="2" applyFont="1" applyFill="1" applyBorder="1" applyAlignment="1">
      <alignment horizontal="right" wrapText="1"/>
    </xf>
    <xf numFmtId="0" fontId="9" fillId="0" borderId="7" xfId="2" applyFont="1" applyFill="1" applyBorder="1" applyAlignment="1">
      <alignment horizontal="right" wrapText="1"/>
    </xf>
    <xf numFmtId="0" fontId="9" fillId="0" borderId="1" xfId="2" applyFont="1" applyFill="1" applyBorder="1" applyAlignment="1">
      <alignment horizontal="right" wrapText="1"/>
    </xf>
    <xf numFmtId="0" fontId="9" fillId="0" borderId="9" xfId="2" applyFont="1" applyFill="1" applyBorder="1" applyAlignment="1">
      <alignment horizontal="right" wrapText="1"/>
    </xf>
    <xf numFmtId="0" fontId="9" fillId="0" borderId="10" xfId="2" applyFont="1" applyFill="1" applyBorder="1" applyAlignment="1">
      <alignment horizontal="center" vertical="center" wrapText="1"/>
    </xf>
    <xf numFmtId="0" fontId="9" fillId="0" borderId="11" xfId="2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wrapText="1"/>
    </xf>
    <xf numFmtId="0" fontId="8" fillId="0" borderId="0" xfId="0" applyFont="1" applyFill="1" applyAlignment="1">
      <alignment horizontal="center" vertical="top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top"/>
    </xf>
    <xf numFmtId="0" fontId="7" fillId="0" borderId="14" xfId="0" applyFont="1" applyFill="1" applyBorder="1" applyAlignment="1">
      <alignment horizontal="left" vertical="top"/>
    </xf>
    <xf numFmtId="0" fontId="7" fillId="0" borderId="15" xfId="0" applyFont="1" applyFill="1" applyBorder="1" applyAlignment="1">
      <alignment horizontal="left" vertical="top"/>
    </xf>
    <xf numFmtId="0" fontId="7" fillId="0" borderId="13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5" xfId="0" applyFont="1" applyFill="1" applyBorder="1" applyAlignment="1">
      <alignment horizontal="left"/>
    </xf>
  </cellXfs>
  <cellStyles count="5">
    <cellStyle name="Обычный" xfId="0" builtinId="0"/>
    <cellStyle name="Обычный 2" xfId="2"/>
    <cellStyle name="Финансовый" xfId="1" builtinId="3"/>
    <cellStyle name="Финансовый 2" xfId="3"/>
    <cellStyle name="Финансовый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97"/>
  <sheetViews>
    <sheetView tabSelected="1" view="pageBreakPreview" zoomScale="70" zoomScaleSheetLayoutView="70" workbookViewId="0">
      <selection activeCell="Q20" sqref="Q20:Y20"/>
    </sheetView>
  </sheetViews>
  <sheetFormatPr defaultColWidth="8.69921875" defaultRowHeight="12.75" outlineLevelRow="1" x14ac:dyDescent="0.3"/>
  <cols>
    <col min="1" max="1" width="5.19921875" style="23" customWidth="1"/>
    <col min="2" max="2" width="7.5" style="24" customWidth="1"/>
    <col min="3" max="3" width="7.19921875" style="25" customWidth="1"/>
    <col min="4" max="4" width="14" style="26" customWidth="1"/>
    <col min="5" max="5" width="17.69921875" style="24" customWidth="1"/>
    <col min="6" max="6" width="26" style="24" customWidth="1"/>
    <col min="7" max="7" width="4.8984375" style="24" customWidth="1"/>
    <col min="8" max="8" width="5.796875" style="24" customWidth="1"/>
    <col min="9" max="9" width="10.3984375" style="24" customWidth="1"/>
    <col min="10" max="10" width="10.8984375" style="24" customWidth="1"/>
    <col min="11" max="11" width="5.5" style="24" customWidth="1"/>
    <col min="12" max="12" width="13.8984375" style="24" customWidth="1"/>
    <col min="13" max="13" width="6.5" style="24" customWidth="1"/>
    <col min="14" max="14" width="11.296875" style="119" customWidth="1"/>
    <col min="15" max="15" width="10.5" style="119" customWidth="1"/>
    <col min="16" max="16" width="10.69921875" style="119" customWidth="1"/>
    <col min="17" max="17" width="11.8984375" style="119" customWidth="1"/>
    <col min="18" max="18" width="11.5" style="119" customWidth="1"/>
    <col min="19" max="19" width="11.3984375" style="119" customWidth="1"/>
    <col min="20" max="20" width="8.59765625" style="119" customWidth="1"/>
    <col min="21" max="21" width="12.8984375" style="119" customWidth="1"/>
    <col min="22" max="22" width="12.59765625" style="119" customWidth="1"/>
    <col min="23" max="23" width="5.296875" style="24" customWidth="1"/>
    <col min="24" max="24" width="6.296875" style="24" customWidth="1"/>
    <col min="25" max="25" width="8.69921875" style="24" customWidth="1"/>
    <col min="26" max="26" width="8.69921875" style="23"/>
    <col min="27" max="27" width="12.8984375" style="23" customWidth="1"/>
    <col min="28" max="28" width="10.8984375" style="23" bestFit="1" customWidth="1"/>
    <col min="29" max="16384" width="8.69921875" style="23"/>
  </cols>
  <sheetData>
    <row r="1" spans="1:41" s="69" customFormat="1" ht="13.5" thickBot="1" x14ac:dyDescent="0.25">
      <c r="A1" s="64"/>
      <c r="B1" s="64"/>
      <c r="D1" s="86"/>
      <c r="E1" s="86"/>
      <c r="F1" s="86"/>
      <c r="G1" s="86"/>
      <c r="H1" s="86"/>
      <c r="I1" s="86"/>
      <c r="J1" s="86"/>
      <c r="K1" s="86"/>
      <c r="L1" s="86"/>
      <c r="M1" s="86"/>
      <c r="N1" s="118"/>
      <c r="O1" s="118"/>
      <c r="P1" s="118"/>
      <c r="Q1" s="162" t="s">
        <v>183</v>
      </c>
      <c r="R1" s="163"/>
      <c r="S1" s="163"/>
      <c r="T1" s="163"/>
      <c r="U1" s="163"/>
      <c r="V1" s="163"/>
      <c r="W1" s="164"/>
      <c r="X1" s="164"/>
      <c r="Y1" s="165"/>
      <c r="Z1" s="65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</row>
    <row r="2" spans="1:41" x14ac:dyDescent="0.3">
      <c r="D2" s="87"/>
      <c r="E2" s="88"/>
      <c r="F2" s="88"/>
      <c r="G2" s="88"/>
      <c r="H2" s="88"/>
      <c r="I2" s="88"/>
      <c r="J2" s="88"/>
      <c r="K2" s="88"/>
      <c r="L2" s="88"/>
      <c r="M2" s="88"/>
      <c r="V2" s="139"/>
      <c r="W2" s="140"/>
      <c r="X2" s="140"/>
      <c r="Y2" s="140"/>
    </row>
    <row r="3" spans="1:41" ht="13.5" thickBot="1" x14ac:dyDescent="0.35">
      <c r="U3" s="139"/>
      <c r="V3" s="144"/>
      <c r="W3" s="145"/>
      <c r="X3" s="145"/>
      <c r="Y3" s="145"/>
    </row>
    <row r="4" spans="1:41" ht="13.5" thickBot="1" x14ac:dyDescent="0.25">
      <c r="Q4" s="152" t="s">
        <v>226</v>
      </c>
      <c r="R4" s="153"/>
      <c r="S4" s="153"/>
      <c r="T4" s="153"/>
      <c r="U4" s="153"/>
      <c r="V4" s="153"/>
      <c r="W4" s="154"/>
      <c r="X4" s="154"/>
      <c r="Y4" s="155"/>
    </row>
    <row r="5" spans="1:41" ht="13.5" thickBot="1" x14ac:dyDescent="0.25">
      <c r="Q5" s="152" t="s">
        <v>227</v>
      </c>
      <c r="R5" s="153"/>
      <c r="S5" s="153"/>
      <c r="T5" s="153"/>
      <c r="U5" s="153"/>
      <c r="V5" s="153"/>
      <c r="W5" s="154"/>
      <c r="X5" s="154"/>
      <c r="Y5" s="155"/>
    </row>
    <row r="6" spans="1:41" ht="13.5" thickBot="1" x14ac:dyDescent="0.25">
      <c r="Q6" s="152" t="s">
        <v>264</v>
      </c>
      <c r="R6" s="153"/>
      <c r="S6" s="153"/>
      <c r="T6" s="153"/>
      <c r="U6" s="153"/>
      <c r="V6" s="153"/>
      <c r="W6" s="154"/>
      <c r="X6" s="154"/>
      <c r="Y6" s="155"/>
    </row>
    <row r="7" spans="1:41" ht="13.5" thickBot="1" x14ac:dyDescent="0.25">
      <c r="Q7" s="152" t="s">
        <v>277</v>
      </c>
      <c r="R7" s="153"/>
      <c r="S7" s="153"/>
      <c r="T7" s="153"/>
      <c r="U7" s="153"/>
      <c r="V7" s="153"/>
      <c r="W7" s="154"/>
      <c r="X7" s="154"/>
      <c r="Y7" s="155"/>
    </row>
    <row r="8" spans="1:41" ht="13.5" thickBot="1" x14ac:dyDescent="0.25">
      <c r="Q8" s="152" t="s">
        <v>324</v>
      </c>
      <c r="R8" s="153"/>
      <c r="S8" s="153"/>
      <c r="T8" s="153"/>
      <c r="U8" s="153"/>
      <c r="V8" s="153"/>
      <c r="W8" s="154"/>
      <c r="X8" s="154"/>
      <c r="Y8" s="155"/>
    </row>
    <row r="9" spans="1:41" ht="13.5" thickBot="1" x14ac:dyDescent="0.25">
      <c r="Q9" s="152" t="s">
        <v>326</v>
      </c>
      <c r="R9" s="153"/>
      <c r="S9" s="153"/>
      <c r="T9" s="153"/>
      <c r="U9" s="153"/>
      <c r="V9" s="153"/>
      <c r="W9" s="154"/>
      <c r="X9" s="154"/>
      <c r="Y9" s="155"/>
    </row>
    <row r="10" spans="1:41" ht="13.5" thickBot="1" x14ac:dyDescent="0.25">
      <c r="Q10" s="152" t="s">
        <v>409</v>
      </c>
      <c r="R10" s="153"/>
      <c r="S10" s="153"/>
      <c r="T10" s="153"/>
      <c r="U10" s="153"/>
      <c r="V10" s="153"/>
      <c r="W10" s="154"/>
      <c r="X10" s="154"/>
      <c r="Y10" s="155"/>
    </row>
    <row r="11" spans="1:41" ht="13.5" thickBot="1" x14ac:dyDescent="0.25">
      <c r="Q11" s="152" t="s">
        <v>413</v>
      </c>
      <c r="R11" s="153"/>
      <c r="S11" s="153"/>
      <c r="T11" s="153"/>
      <c r="U11" s="153"/>
      <c r="V11" s="153"/>
      <c r="W11" s="154"/>
      <c r="X11" s="154"/>
      <c r="Y11" s="155"/>
    </row>
    <row r="12" spans="1:41" ht="13.5" thickBot="1" x14ac:dyDescent="0.25">
      <c r="Q12" s="152" t="s">
        <v>428</v>
      </c>
      <c r="R12" s="153"/>
      <c r="S12" s="153"/>
      <c r="T12" s="153"/>
      <c r="U12" s="153"/>
      <c r="V12" s="153"/>
      <c r="W12" s="154"/>
      <c r="X12" s="154"/>
      <c r="Y12" s="155"/>
    </row>
    <row r="13" spans="1:41" ht="13.5" thickBot="1" x14ac:dyDescent="0.25">
      <c r="Q13" s="152" t="s">
        <v>429</v>
      </c>
      <c r="R13" s="153"/>
      <c r="S13" s="153"/>
      <c r="T13" s="153"/>
      <c r="U13" s="153"/>
      <c r="V13" s="153"/>
      <c r="W13" s="154"/>
      <c r="X13" s="154"/>
      <c r="Y13" s="155"/>
    </row>
    <row r="14" spans="1:41" ht="13.5" thickBot="1" x14ac:dyDescent="0.25">
      <c r="Q14" s="152" t="s">
        <v>441</v>
      </c>
      <c r="R14" s="153"/>
      <c r="S14" s="153"/>
      <c r="T14" s="153"/>
      <c r="U14" s="153"/>
      <c r="V14" s="153"/>
      <c r="W14" s="154"/>
      <c r="X14" s="154"/>
      <c r="Y14" s="155"/>
    </row>
    <row r="15" spans="1:41" ht="13.5" thickBot="1" x14ac:dyDescent="0.25">
      <c r="Q15" s="152" t="s">
        <v>444</v>
      </c>
      <c r="R15" s="153"/>
      <c r="S15" s="153"/>
      <c r="T15" s="153"/>
      <c r="U15" s="153"/>
      <c r="V15" s="153"/>
      <c r="W15" s="154"/>
      <c r="X15" s="154"/>
      <c r="Y15" s="155"/>
    </row>
    <row r="16" spans="1:41" ht="13.5" thickBot="1" x14ac:dyDescent="0.25">
      <c r="Q16" s="152" t="s">
        <v>448</v>
      </c>
      <c r="R16" s="153"/>
      <c r="S16" s="153"/>
      <c r="T16" s="153"/>
      <c r="U16" s="153"/>
      <c r="V16" s="153"/>
      <c r="W16" s="154"/>
      <c r="X16" s="154"/>
      <c r="Y16" s="155"/>
    </row>
    <row r="17" spans="1:27" ht="13.5" thickBot="1" x14ac:dyDescent="0.25">
      <c r="Q17" s="152" t="s">
        <v>453</v>
      </c>
      <c r="R17" s="153"/>
      <c r="S17" s="153"/>
      <c r="T17" s="153"/>
      <c r="U17" s="153"/>
      <c r="V17" s="153"/>
      <c r="W17" s="154"/>
      <c r="X17" s="154"/>
      <c r="Y17" s="155"/>
    </row>
    <row r="18" spans="1:27" ht="13.5" thickBot="1" x14ac:dyDescent="0.25">
      <c r="Q18" s="152" t="s">
        <v>463</v>
      </c>
      <c r="R18" s="153"/>
      <c r="S18" s="153"/>
      <c r="T18" s="153"/>
      <c r="U18" s="153"/>
      <c r="V18" s="153"/>
      <c r="W18" s="154"/>
      <c r="X18" s="154"/>
      <c r="Y18" s="155"/>
    </row>
    <row r="19" spans="1:27" ht="13.5" thickBot="1" x14ac:dyDescent="0.25">
      <c r="Q19" s="152" t="s">
        <v>473</v>
      </c>
      <c r="R19" s="153"/>
      <c r="S19" s="153"/>
      <c r="T19" s="153"/>
      <c r="U19" s="153"/>
      <c r="V19" s="153"/>
      <c r="W19" s="154"/>
      <c r="X19" s="154"/>
      <c r="Y19" s="155"/>
    </row>
    <row r="20" spans="1:27" ht="13.5" thickBot="1" x14ac:dyDescent="0.25">
      <c r="Q20" s="152" t="s">
        <v>478</v>
      </c>
      <c r="R20" s="153"/>
      <c r="S20" s="153"/>
      <c r="T20" s="153"/>
      <c r="U20" s="153"/>
      <c r="V20" s="153"/>
      <c r="W20" s="154"/>
      <c r="X20" s="154"/>
      <c r="Y20" s="155"/>
    </row>
    <row r="21" spans="1:27" x14ac:dyDescent="0.2">
      <c r="Q21" s="120"/>
      <c r="R21" s="120"/>
      <c r="S21" s="120"/>
      <c r="T21" s="120"/>
      <c r="U21" s="120"/>
      <c r="V21" s="120"/>
      <c r="W21" s="117"/>
      <c r="X21" s="117"/>
      <c r="Y21" s="117"/>
    </row>
    <row r="22" spans="1:27" ht="15.75" x14ac:dyDescent="0.3">
      <c r="A22" s="160" t="s">
        <v>470</v>
      </c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1"/>
      <c r="O22" s="161"/>
      <c r="P22" s="161"/>
      <c r="Q22" s="161"/>
      <c r="R22" s="161"/>
      <c r="S22" s="161"/>
      <c r="T22" s="161"/>
      <c r="U22" s="161"/>
      <c r="V22" s="161"/>
      <c r="W22" s="160"/>
      <c r="X22" s="160"/>
      <c r="Y22" s="160"/>
    </row>
    <row r="23" spans="1:27" x14ac:dyDescent="0.3">
      <c r="V23" s="121"/>
      <c r="W23" s="28"/>
      <c r="X23" s="28"/>
      <c r="Y23" s="28"/>
    </row>
    <row r="24" spans="1:27" x14ac:dyDescent="0.3">
      <c r="A24" s="30"/>
      <c r="B24" s="31"/>
      <c r="C24" s="32"/>
      <c r="G24" s="31"/>
      <c r="H24" s="31"/>
      <c r="I24" s="31"/>
      <c r="J24" s="31"/>
      <c r="K24" s="31"/>
      <c r="L24" s="31"/>
      <c r="M24" s="31"/>
      <c r="N24" s="34"/>
      <c r="O24" s="34"/>
      <c r="P24" s="34"/>
      <c r="Q24" s="34"/>
      <c r="R24" s="34"/>
      <c r="S24" s="34"/>
      <c r="T24" s="34"/>
      <c r="U24" s="34"/>
      <c r="V24" s="34"/>
      <c r="W24" s="31"/>
      <c r="X24" s="31"/>
      <c r="Y24" s="31"/>
    </row>
    <row r="25" spans="1:27" s="22" customFormat="1" ht="76.5" x14ac:dyDescent="0.3">
      <c r="A25" s="141" t="s">
        <v>0</v>
      </c>
      <c r="B25" s="141" t="s">
        <v>1</v>
      </c>
      <c r="C25" s="141" t="s">
        <v>2</v>
      </c>
      <c r="D25" s="141" t="s">
        <v>17</v>
      </c>
      <c r="E25" s="141" t="s">
        <v>18</v>
      </c>
      <c r="F25" s="141" t="s">
        <v>19</v>
      </c>
      <c r="G25" s="141" t="s">
        <v>3</v>
      </c>
      <c r="H25" s="141" t="s">
        <v>4</v>
      </c>
      <c r="I25" s="141" t="s">
        <v>5</v>
      </c>
      <c r="J25" s="141" t="s">
        <v>6</v>
      </c>
      <c r="K25" s="156" t="s">
        <v>7</v>
      </c>
      <c r="L25" s="141" t="s">
        <v>8</v>
      </c>
      <c r="M25" s="141" t="s">
        <v>9</v>
      </c>
      <c r="N25" s="146" t="s">
        <v>10</v>
      </c>
      <c r="O25" s="147"/>
      <c r="P25" s="147"/>
      <c r="Q25" s="147"/>
      <c r="R25" s="147"/>
      <c r="S25" s="148"/>
      <c r="T25" s="122" t="s">
        <v>11</v>
      </c>
      <c r="U25" s="122" t="s">
        <v>12</v>
      </c>
      <c r="V25" s="122" t="s">
        <v>13</v>
      </c>
      <c r="W25" s="115" t="s">
        <v>14</v>
      </c>
      <c r="X25" s="115" t="s">
        <v>15</v>
      </c>
      <c r="Y25" s="115" t="s">
        <v>278</v>
      </c>
    </row>
    <row r="26" spans="1:27" s="22" customFormat="1" x14ac:dyDescent="0.3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56"/>
      <c r="L26" s="142"/>
      <c r="M26" s="142"/>
      <c r="N26" s="149"/>
      <c r="O26" s="150"/>
      <c r="P26" s="150"/>
      <c r="Q26" s="150"/>
      <c r="R26" s="150"/>
      <c r="S26" s="151"/>
      <c r="T26" s="123"/>
      <c r="U26" s="123"/>
      <c r="V26" s="123"/>
      <c r="W26" s="35"/>
      <c r="X26" s="35"/>
      <c r="Y26" s="35"/>
    </row>
    <row r="27" spans="1:27" s="22" customFormat="1" x14ac:dyDescent="0.3">
      <c r="A27" s="143"/>
      <c r="B27" s="143"/>
      <c r="C27" s="143"/>
      <c r="D27" s="143"/>
      <c r="E27" s="143"/>
      <c r="F27" s="143"/>
      <c r="G27" s="143"/>
      <c r="H27" s="143"/>
      <c r="I27" s="143"/>
      <c r="J27" s="143"/>
      <c r="K27" s="156"/>
      <c r="L27" s="143"/>
      <c r="M27" s="143"/>
      <c r="N27" s="123" t="s">
        <v>32</v>
      </c>
      <c r="O27" s="123" t="s">
        <v>33</v>
      </c>
      <c r="P27" s="123" t="s">
        <v>34</v>
      </c>
      <c r="Q27" s="123" t="s">
        <v>36</v>
      </c>
      <c r="R27" s="123" t="s">
        <v>37</v>
      </c>
      <c r="S27" s="123" t="s">
        <v>467</v>
      </c>
      <c r="T27" s="124"/>
      <c r="U27" s="124"/>
      <c r="V27" s="124"/>
      <c r="W27" s="36"/>
      <c r="X27" s="36"/>
      <c r="Y27" s="36"/>
    </row>
    <row r="28" spans="1:27" s="38" customFormat="1" x14ac:dyDescent="0.3">
      <c r="A28" s="37">
        <v>1</v>
      </c>
      <c r="B28" s="35">
        <v>2</v>
      </c>
      <c r="C28" s="35">
        <v>3</v>
      </c>
      <c r="D28" s="35">
        <v>4</v>
      </c>
      <c r="E28" s="35">
        <v>5</v>
      </c>
      <c r="F28" s="35" t="s">
        <v>20</v>
      </c>
      <c r="G28" s="114">
        <v>7</v>
      </c>
      <c r="H28" s="35">
        <v>8</v>
      </c>
      <c r="I28" s="35">
        <v>9</v>
      </c>
      <c r="J28" s="35">
        <v>10</v>
      </c>
      <c r="K28" s="35">
        <v>11</v>
      </c>
      <c r="L28" s="35">
        <v>12</v>
      </c>
      <c r="M28" s="35">
        <v>13</v>
      </c>
      <c r="N28" s="157">
        <v>14</v>
      </c>
      <c r="O28" s="158"/>
      <c r="P28" s="158"/>
      <c r="Q28" s="158"/>
      <c r="R28" s="158"/>
      <c r="S28" s="159"/>
      <c r="T28" s="116">
        <v>15</v>
      </c>
      <c r="U28" s="116">
        <v>16</v>
      </c>
      <c r="V28" s="116">
        <v>17</v>
      </c>
      <c r="W28" s="35">
        <v>18</v>
      </c>
      <c r="X28" s="35">
        <v>19</v>
      </c>
      <c r="Y28" s="35">
        <v>20</v>
      </c>
    </row>
    <row r="29" spans="1:27" s="45" customFormat="1" x14ac:dyDescent="0.3">
      <c r="A29" s="39" t="s">
        <v>179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125"/>
      <c r="O29" s="125"/>
      <c r="P29" s="125"/>
      <c r="Q29" s="125"/>
      <c r="R29" s="125"/>
      <c r="S29" s="125"/>
      <c r="T29" s="125"/>
      <c r="U29" s="125"/>
      <c r="V29" s="125"/>
      <c r="W29" s="40"/>
      <c r="X29" s="44"/>
      <c r="Y29" s="44"/>
    </row>
    <row r="30" spans="1:27" s="92" customFormat="1" ht="114.75" outlineLevel="1" x14ac:dyDescent="0.3">
      <c r="A30" s="93" t="s">
        <v>38</v>
      </c>
      <c r="B30" s="14" t="s">
        <v>26</v>
      </c>
      <c r="C30" s="19" t="s">
        <v>39</v>
      </c>
      <c r="D30" s="19" t="s">
        <v>40</v>
      </c>
      <c r="E30" s="19" t="s">
        <v>41</v>
      </c>
      <c r="F30" s="19" t="s">
        <v>42</v>
      </c>
      <c r="G30" s="4" t="s">
        <v>43</v>
      </c>
      <c r="H30" s="4">
        <v>0.5</v>
      </c>
      <c r="I30" s="2" t="s">
        <v>44</v>
      </c>
      <c r="J30" s="1" t="s">
        <v>45</v>
      </c>
      <c r="K30" s="7" t="s">
        <v>46</v>
      </c>
      <c r="L30" s="7" t="s">
        <v>47</v>
      </c>
      <c r="M30" s="8" t="s">
        <v>48</v>
      </c>
      <c r="N30" s="90">
        <v>0</v>
      </c>
      <c r="O30" s="9">
        <f t="shared" ref="O30:R32" si="0">150+180+10+30</f>
        <v>370</v>
      </c>
      <c r="P30" s="9">
        <f t="shared" si="0"/>
        <v>370</v>
      </c>
      <c r="Q30" s="9">
        <f t="shared" si="0"/>
        <v>370</v>
      </c>
      <c r="R30" s="9">
        <f t="shared" si="0"/>
        <v>370</v>
      </c>
      <c r="S30" s="9">
        <v>0</v>
      </c>
      <c r="T30" s="10">
        <v>1253.57</v>
      </c>
      <c r="U30" s="9">
        <v>0</v>
      </c>
      <c r="V30" s="9">
        <f>U30*1.12</f>
        <v>0</v>
      </c>
      <c r="W30" s="7" t="s">
        <v>49</v>
      </c>
      <c r="X30" s="91" t="s">
        <v>33</v>
      </c>
      <c r="Y30" s="15">
        <v>9</v>
      </c>
      <c r="AA30" s="136"/>
    </row>
    <row r="31" spans="1:27" s="92" customFormat="1" ht="114.75" outlineLevel="1" x14ac:dyDescent="0.3">
      <c r="A31" s="93" t="s">
        <v>228</v>
      </c>
      <c r="B31" s="14" t="s">
        <v>26</v>
      </c>
      <c r="C31" s="19" t="s">
        <v>39</v>
      </c>
      <c r="D31" s="19" t="s">
        <v>40</v>
      </c>
      <c r="E31" s="19" t="s">
        <v>41</v>
      </c>
      <c r="F31" s="19" t="s">
        <v>42</v>
      </c>
      <c r="G31" s="4" t="s">
        <v>43</v>
      </c>
      <c r="H31" s="4">
        <v>0.5</v>
      </c>
      <c r="I31" s="2" t="s">
        <v>229</v>
      </c>
      <c r="J31" s="1" t="s">
        <v>45</v>
      </c>
      <c r="K31" s="7" t="s">
        <v>46</v>
      </c>
      <c r="L31" s="7" t="s">
        <v>47</v>
      </c>
      <c r="M31" s="8" t="s">
        <v>48</v>
      </c>
      <c r="N31" s="90">
        <v>0</v>
      </c>
      <c r="O31" s="9">
        <f t="shared" si="0"/>
        <v>370</v>
      </c>
      <c r="P31" s="9">
        <f t="shared" si="0"/>
        <v>370</v>
      </c>
      <c r="Q31" s="9">
        <f t="shared" si="0"/>
        <v>370</v>
      </c>
      <c r="R31" s="9">
        <f t="shared" si="0"/>
        <v>370</v>
      </c>
      <c r="S31" s="9">
        <v>0</v>
      </c>
      <c r="T31" s="10">
        <v>1253.57</v>
      </c>
      <c r="U31" s="9">
        <v>0</v>
      </c>
      <c r="V31" s="9">
        <f>U31*1.12</f>
        <v>0</v>
      </c>
      <c r="W31" s="7" t="s">
        <v>49</v>
      </c>
      <c r="X31" s="91" t="s">
        <v>33</v>
      </c>
      <c r="Y31" s="15">
        <v>7.9</v>
      </c>
      <c r="AA31" s="136"/>
    </row>
    <row r="32" spans="1:27" s="92" customFormat="1" ht="114.75" outlineLevel="1" x14ac:dyDescent="0.3">
      <c r="A32" s="93" t="s">
        <v>280</v>
      </c>
      <c r="B32" s="14" t="s">
        <v>26</v>
      </c>
      <c r="C32" s="19" t="s">
        <v>39</v>
      </c>
      <c r="D32" s="19" t="s">
        <v>40</v>
      </c>
      <c r="E32" s="19" t="s">
        <v>41</v>
      </c>
      <c r="F32" s="19" t="s">
        <v>42</v>
      </c>
      <c r="G32" s="4" t="s">
        <v>282</v>
      </c>
      <c r="H32" s="4">
        <v>0.5</v>
      </c>
      <c r="I32" s="2" t="s">
        <v>325</v>
      </c>
      <c r="J32" s="1" t="s">
        <v>45</v>
      </c>
      <c r="K32" s="7" t="s">
        <v>46</v>
      </c>
      <c r="L32" s="7" t="s">
        <v>47</v>
      </c>
      <c r="M32" s="8" t="s">
        <v>48</v>
      </c>
      <c r="N32" s="90">
        <v>0</v>
      </c>
      <c r="O32" s="9">
        <f t="shared" si="0"/>
        <v>370</v>
      </c>
      <c r="P32" s="9">
        <f t="shared" si="0"/>
        <v>370</v>
      </c>
      <c r="Q32" s="9">
        <f t="shared" si="0"/>
        <v>370</v>
      </c>
      <c r="R32" s="9">
        <f t="shared" si="0"/>
        <v>370</v>
      </c>
      <c r="S32" s="9">
        <v>0</v>
      </c>
      <c r="T32" s="10">
        <v>1253.57</v>
      </c>
      <c r="U32" s="9">
        <v>0</v>
      </c>
      <c r="V32" s="9">
        <f>U32*1.12</f>
        <v>0</v>
      </c>
      <c r="W32" s="7" t="s">
        <v>49</v>
      </c>
      <c r="X32" s="91" t="s">
        <v>33</v>
      </c>
      <c r="Y32" s="15" t="s">
        <v>253</v>
      </c>
      <c r="AA32" s="136"/>
    </row>
    <row r="33" spans="1:27" s="92" customFormat="1" ht="102" outlineLevel="1" x14ac:dyDescent="0.3">
      <c r="A33" s="93" t="s">
        <v>50</v>
      </c>
      <c r="B33" s="14" t="s">
        <v>26</v>
      </c>
      <c r="C33" s="1" t="s">
        <v>51</v>
      </c>
      <c r="D33" s="1" t="s">
        <v>40</v>
      </c>
      <c r="E33" s="2" t="s">
        <v>41</v>
      </c>
      <c r="F33" s="3" t="s">
        <v>224</v>
      </c>
      <c r="G33" s="15" t="s">
        <v>43</v>
      </c>
      <c r="H33" s="4">
        <v>0.5</v>
      </c>
      <c r="I33" s="2" t="s">
        <v>44</v>
      </c>
      <c r="J33" s="1" t="s">
        <v>45</v>
      </c>
      <c r="K33" s="7" t="s">
        <v>46</v>
      </c>
      <c r="L33" s="7" t="s">
        <v>47</v>
      </c>
      <c r="M33" s="8" t="s">
        <v>53</v>
      </c>
      <c r="N33" s="90">
        <v>0</v>
      </c>
      <c r="O33" s="9">
        <f t="shared" ref="O33:R35" si="1">1788+1152+46+12+36+30-252</f>
        <v>2812</v>
      </c>
      <c r="P33" s="9">
        <f t="shared" si="1"/>
        <v>2812</v>
      </c>
      <c r="Q33" s="9">
        <f t="shared" si="1"/>
        <v>2812</v>
      </c>
      <c r="R33" s="9">
        <f t="shared" si="1"/>
        <v>2812</v>
      </c>
      <c r="S33" s="9">
        <v>0</v>
      </c>
      <c r="T33" s="10">
        <v>417.86</v>
      </c>
      <c r="U33" s="9">
        <v>0</v>
      </c>
      <c r="V33" s="9">
        <f t="shared" ref="V33:V141" si="2">U33*1.12</f>
        <v>0</v>
      </c>
      <c r="W33" s="7" t="s">
        <v>49</v>
      </c>
      <c r="X33" s="91" t="s">
        <v>33</v>
      </c>
      <c r="Y33" s="15" t="s">
        <v>231</v>
      </c>
      <c r="AA33" s="136"/>
    </row>
    <row r="34" spans="1:27" s="92" customFormat="1" ht="102" outlineLevel="1" x14ac:dyDescent="0.3">
      <c r="A34" s="93" t="s">
        <v>230</v>
      </c>
      <c r="B34" s="14" t="s">
        <v>26</v>
      </c>
      <c r="C34" s="1" t="s">
        <v>51</v>
      </c>
      <c r="D34" s="1" t="s">
        <v>40</v>
      </c>
      <c r="E34" s="2" t="s">
        <v>41</v>
      </c>
      <c r="F34" s="3" t="s">
        <v>224</v>
      </c>
      <c r="G34" s="15" t="s">
        <v>43</v>
      </c>
      <c r="H34" s="4">
        <v>0.5</v>
      </c>
      <c r="I34" s="2" t="s">
        <v>229</v>
      </c>
      <c r="J34" s="1" t="s">
        <v>45</v>
      </c>
      <c r="K34" s="7" t="s">
        <v>46</v>
      </c>
      <c r="L34" s="7" t="s">
        <v>47</v>
      </c>
      <c r="M34" s="8" t="s">
        <v>53</v>
      </c>
      <c r="N34" s="90">
        <v>0</v>
      </c>
      <c r="O34" s="9">
        <f t="shared" si="1"/>
        <v>2812</v>
      </c>
      <c r="P34" s="9">
        <f t="shared" si="1"/>
        <v>2812</v>
      </c>
      <c r="Q34" s="9">
        <f t="shared" si="1"/>
        <v>2812</v>
      </c>
      <c r="R34" s="9">
        <f t="shared" si="1"/>
        <v>2812</v>
      </c>
      <c r="S34" s="9">
        <v>0</v>
      </c>
      <c r="T34" s="10">
        <v>292.67</v>
      </c>
      <c r="U34" s="9">
        <v>0</v>
      </c>
      <c r="V34" s="9">
        <f t="shared" ref="V34" si="3">U34*1.12</f>
        <v>0</v>
      </c>
      <c r="W34" s="7" t="s">
        <v>49</v>
      </c>
      <c r="X34" s="91" t="s">
        <v>33</v>
      </c>
      <c r="Y34" s="15" t="s">
        <v>283</v>
      </c>
      <c r="AA34" s="136"/>
    </row>
    <row r="35" spans="1:27" s="92" customFormat="1" ht="102" outlineLevel="1" x14ac:dyDescent="0.3">
      <c r="A35" s="93" t="s">
        <v>279</v>
      </c>
      <c r="B35" s="14" t="s">
        <v>26</v>
      </c>
      <c r="C35" s="1" t="s">
        <v>51</v>
      </c>
      <c r="D35" s="1" t="s">
        <v>40</v>
      </c>
      <c r="E35" s="2" t="s">
        <v>41</v>
      </c>
      <c r="F35" s="3" t="s">
        <v>224</v>
      </c>
      <c r="G35" s="15" t="s">
        <v>282</v>
      </c>
      <c r="H35" s="4">
        <v>0.5</v>
      </c>
      <c r="I35" s="2" t="s">
        <v>325</v>
      </c>
      <c r="J35" s="1" t="s">
        <v>45</v>
      </c>
      <c r="K35" s="7" t="s">
        <v>46</v>
      </c>
      <c r="L35" s="7" t="s">
        <v>47</v>
      </c>
      <c r="M35" s="8" t="s">
        <v>53</v>
      </c>
      <c r="N35" s="90">
        <v>0</v>
      </c>
      <c r="O35" s="9">
        <f>1788+1152+46+12+36+30-252-1406</f>
        <v>1406</v>
      </c>
      <c r="P35" s="9">
        <f t="shared" si="1"/>
        <v>2812</v>
      </c>
      <c r="Q35" s="9">
        <f t="shared" si="1"/>
        <v>2812</v>
      </c>
      <c r="R35" s="9">
        <f t="shared" si="1"/>
        <v>2812</v>
      </c>
      <c r="S35" s="9">
        <v>0</v>
      </c>
      <c r="T35" s="10">
        <v>292.67</v>
      </c>
      <c r="U35" s="9">
        <v>0</v>
      </c>
      <c r="V35" s="9">
        <f t="shared" ref="V35" si="4">U35*1.12</f>
        <v>0</v>
      </c>
      <c r="W35" s="7" t="s">
        <v>49</v>
      </c>
      <c r="X35" s="91" t="s">
        <v>33</v>
      </c>
      <c r="Y35" s="15" t="s">
        <v>253</v>
      </c>
      <c r="AA35" s="136"/>
    </row>
    <row r="36" spans="1:27" s="92" customFormat="1" ht="89.25" outlineLevel="1" x14ac:dyDescent="0.3">
      <c r="A36" s="15" t="s">
        <v>54</v>
      </c>
      <c r="B36" s="14" t="s">
        <v>26</v>
      </c>
      <c r="C36" s="1" t="s">
        <v>55</v>
      </c>
      <c r="D36" s="1" t="s">
        <v>56</v>
      </c>
      <c r="E36" s="2" t="s">
        <v>57</v>
      </c>
      <c r="F36" s="3" t="s">
        <v>58</v>
      </c>
      <c r="G36" s="15" t="s">
        <v>43</v>
      </c>
      <c r="H36" s="4">
        <v>0.5</v>
      </c>
      <c r="I36" s="2" t="s">
        <v>44</v>
      </c>
      <c r="J36" s="1" t="s">
        <v>45</v>
      </c>
      <c r="K36" s="7" t="s">
        <v>46</v>
      </c>
      <c r="L36" s="7" t="s">
        <v>47</v>
      </c>
      <c r="M36" s="8" t="s">
        <v>53</v>
      </c>
      <c r="N36" s="90">
        <v>0</v>
      </c>
      <c r="O36" s="9">
        <f t="shared" ref="O36:R38" si="5">1176+36+18+24+170</f>
        <v>1424</v>
      </c>
      <c r="P36" s="9">
        <f t="shared" si="5"/>
        <v>1424</v>
      </c>
      <c r="Q36" s="9">
        <f t="shared" si="5"/>
        <v>1424</v>
      </c>
      <c r="R36" s="9">
        <f t="shared" si="5"/>
        <v>1424</v>
      </c>
      <c r="S36" s="9">
        <v>0</v>
      </c>
      <c r="T36" s="10">
        <v>397.32</v>
      </c>
      <c r="U36" s="9">
        <v>0</v>
      </c>
      <c r="V36" s="9">
        <f t="shared" si="2"/>
        <v>0</v>
      </c>
      <c r="W36" s="7" t="s">
        <v>49</v>
      </c>
      <c r="X36" s="91" t="s">
        <v>33</v>
      </c>
      <c r="Y36" s="15" t="s">
        <v>231</v>
      </c>
      <c r="AA36" s="136"/>
    </row>
    <row r="37" spans="1:27" s="92" customFormat="1" ht="89.25" outlineLevel="1" x14ac:dyDescent="0.3">
      <c r="A37" s="15" t="s">
        <v>232</v>
      </c>
      <c r="B37" s="14" t="s">
        <v>26</v>
      </c>
      <c r="C37" s="1" t="s">
        <v>55</v>
      </c>
      <c r="D37" s="1" t="s">
        <v>56</v>
      </c>
      <c r="E37" s="2" t="s">
        <v>57</v>
      </c>
      <c r="F37" s="3" t="s">
        <v>58</v>
      </c>
      <c r="G37" s="15" t="s">
        <v>43</v>
      </c>
      <c r="H37" s="4">
        <v>0.5</v>
      </c>
      <c r="I37" s="2" t="s">
        <v>229</v>
      </c>
      <c r="J37" s="1" t="s">
        <v>45</v>
      </c>
      <c r="K37" s="7" t="s">
        <v>46</v>
      </c>
      <c r="L37" s="7" t="s">
        <v>47</v>
      </c>
      <c r="M37" s="8" t="s">
        <v>53</v>
      </c>
      <c r="N37" s="90">
        <v>0</v>
      </c>
      <c r="O37" s="9">
        <f t="shared" si="5"/>
        <v>1424</v>
      </c>
      <c r="P37" s="9">
        <f t="shared" si="5"/>
        <v>1424</v>
      </c>
      <c r="Q37" s="9">
        <f t="shared" si="5"/>
        <v>1424</v>
      </c>
      <c r="R37" s="9">
        <f t="shared" si="5"/>
        <v>1424</v>
      </c>
      <c r="S37" s="9">
        <v>0</v>
      </c>
      <c r="T37" s="10">
        <v>296.25</v>
      </c>
      <c r="U37" s="9">
        <v>0</v>
      </c>
      <c r="V37" s="9">
        <f t="shared" ref="V37" si="6">U37*1.12</f>
        <v>0</v>
      </c>
      <c r="W37" s="7" t="s">
        <v>49</v>
      </c>
      <c r="X37" s="91" t="s">
        <v>33</v>
      </c>
      <c r="Y37" s="15" t="s">
        <v>283</v>
      </c>
      <c r="AA37" s="136"/>
    </row>
    <row r="38" spans="1:27" s="92" customFormat="1" ht="89.25" outlineLevel="1" x14ac:dyDescent="0.3">
      <c r="A38" s="15" t="s">
        <v>281</v>
      </c>
      <c r="B38" s="14" t="s">
        <v>26</v>
      </c>
      <c r="C38" s="1" t="s">
        <v>55</v>
      </c>
      <c r="D38" s="1" t="s">
        <v>56</v>
      </c>
      <c r="E38" s="2" t="s">
        <v>57</v>
      </c>
      <c r="F38" s="3" t="s">
        <v>58</v>
      </c>
      <c r="G38" s="15" t="s">
        <v>282</v>
      </c>
      <c r="H38" s="4">
        <v>0.5</v>
      </c>
      <c r="I38" s="2" t="s">
        <v>325</v>
      </c>
      <c r="J38" s="1" t="s">
        <v>45</v>
      </c>
      <c r="K38" s="7" t="s">
        <v>46</v>
      </c>
      <c r="L38" s="7" t="s">
        <v>47</v>
      </c>
      <c r="M38" s="8" t="s">
        <v>53</v>
      </c>
      <c r="N38" s="90">
        <v>0</v>
      </c>
      <c r="O38" s="9">
        <f>1176+36+18+24+170-712</f>
        <v>712</v>
      </c>
      <c r="P38" s="9">
        <f t="shared" si="5"/>
        <v>1424</v>
      </c>
      <c r="Q38" s="9">
        <f t="shared" si="5"/>
        <v>1424</v>
      </c>
      <c r="R38" s="9">
        <f t="shared" si="5"/>
        <v>1424</v>
      </c>
      <c r="S38" s="9">
        <v>0</v>
      </c>
      <c r="T38" s="10">
        <v>296.25</v>
      </c>
      <c r="U38" s="9">
        <v>0</v>
      </c>
      <c r="V38" s="9">
        <f t="shared" ref="V38" si="7">U38*1.12</f>
        <v>0</v>
      </c>
      <c r="W38" s="7" t="s">
        <v>49</v>
      </c>
      <c r="X38" s="91" t="s">
        <v>33</v>
      </c>
      <c r="Y38" s="15" t="s">
        <v>253</v>
      </c>
      <c r="AA38" s="136"/>
    </row>
    <row r="39" spans="1:27" s="92" customFormat="1" ht="114.75" outlineLevel="1" x14ac:dyDescent="0.3">
      <c r="A39" s="15" t="s">
        <v>59</v>
      </c>
      <c r="B39" s="14" t="s">
        <v>26</v>
      </c>
      <c r="C39" s="1" t="s">
        <v>55</v>
      </c>
      <c r="D39" s="1" t="s">
        <v>56</v>
      </c>
      <c r="E39" s="2" t="s">
        <v>57</v>
      </c>
      <c r="F39" s="3" t="s">
        <v>60</v>
      </c>
      <c r="G39" s="15" t="s">
        <v>43</v>
      </c>
      <c r="H39" s="4">
        <v>0.5</v>
      </c>
      <c r="I39" s="2" t="s">
        <v>44</v>
      </c>
      <c r="J39" s="1" t="s">
        <v>45</v>
      </c>
      <c r="K39" s="7" t="s">
        <v>46</v>
      </c>
      <c r="L39" s="7" t="s">
        <v>47</v>
      </c>
      <c r="M39" s="8" t="s">
        <v>53</v>
      </c>
      <c r="N39" s="90">
        <v>0</v>
      </c>
      <c r="O39" s="9">
        <f t="shared" ref="O39:R41" si="8">3642-504</f>
        <v>3138</v>
      </c>
      <c r="P39" s="9">
        <f t="shared" si="8"/>
        <v>3138</v>
      </c>
      <c r="Q39" s="9">
        <f t="shared" si="8"/>
        <v>3138</v>
      </c>
      <c r="R39" s="9">
        <f t="shared" si="8"/>
        <v>3138</v>
      </c>
      <c r="S39" s="9">
        <v>0</v>
      </c>
      <c r="T39" s="10">
        <v>438.39</v>
      </c>
      <c r="U39" s="9">
        <v>0</v>
      </c>
      <c r="V39" s="9">
        <f t="shared" si="2"/>
        <v>0</v>
      </c>
      <c r="W39" s="7" t="s">
        <v>49</v>
      </c>
      <c r="X39" s="91" t="s">
        <v>33</v>
      </c>
      <c r="Y39" s="15" t="s">
        <v>231</v>
      </c>
      <c r="AA39" s="136"/>
    </row>
    <row r="40" spans="1:27" s="92" customFormat="1" ht="114.75" outlineLevel="1" x14ac:dyDescent="0.3">
      <c r="A40" s="15" t="s">
        <v>233</v>
      </c>
      <c r="B40" s="14" t="s">
        <v>26</v>
      </c>
      <c r="C40" s="1" t="s">
        <v>55</v>
      </c>
      <c r="D40" s="1" t="s">
        <v>56</v>
      </c>
      <c r="E40" s="2" t="s">
        <v>57</v>
      </c>
      <c r="F40" s="3" t="s">
        <v>60</v>
      </c>
      <c r="G40" s="15" t="s">
        <v>43</v>
      </c>
      <c r="H40" s="4">
        <v>0.5</v>
      </c>
      <c r="I40" s="2" t="s">
        <v>229</v>
      </c>
      <c r="J40" s="1" t="s">
        <v>45</v>
      </c>
      <c r="K40" s="7" t="s">
        <v>46</v>
      </c>
      <c r="L40" s="7" t="s">
        <v>47</v>
      </c>
      <c r="M40" s="8" t="s">
        <v>53</v>
      </c>
      <c r="N40" s="90">
        <v>0</v>
      </c>
      <c r="O40" s="9">
        <f t="shared" si="8"/>
        <v>3138</v>
      </c>
      <c r="P40" s="9">
        <f t="shared" si="8"/>
        <v>3138</v>
      </c>
      <c r="Q40" s="9">
        <f t="shared" si="8"/>
        <v>3138</v>
      </c>
      <c r="R40" s="9">
        <f t="shared" si="8"/>
        <v>3138</v>
      </c>
      <c r="S40" s="9">
        <v>0</v>
      </c>
      <c r="T40" s="10">
        <v>353.5</v>
      </c>
      <c r="U40" s="9">
        <v>0</v>
      </c>
      <c r="V40" s="9">
        <f t="shared" ref="V40" si="9">U40*1.12</f>
        <v>0</v>
      </c>
      <c r="W40" s="7" t="s">
        <v>49</v>
      </c>
      <c r="X40" s="91" t="s">
        <v>33</v>
      </c>
      <c r="Y40" s="15" t="s">
        <v>283</v>
      </c>
      <c r="AA40" s="136"/>
    </row>
    <row r="41" spans="1:27" s="92" customFormat="1" ht="114.75" outlineLevel="1" x14ac:dyDescent="0.3">
      <c r="A41" s="15" t="s">
        <v>284</v>
      </c>
      <c r="B41" s="14" t="s">
        <v>26</v>
      </c>
      <c r="C41" s="1" t="s">
        <v>55</v>
      </c>
      <c r="D41" s="1" t="s">
        <v>56</v>
      </c>
      <c r="E41" s="2" t="s">
        <v>57</v>
      </c>
      <c r="F41" s="3" t="s">
        <v>60</v>
      </c>
      <c r="G41" s="15" t="s">
        <v>282</v>
      </c>
      <c r="H41" s="4">
        <v>0.5</v>
      </c>
      <c r="I41" s="2" t="s">
        <v>325</v>
      </c>
      <c r="J41" s="1" t="s">
        <v>45</v>
      </c>
      <c r="K41" s="7" t="s">
        <v>46</v>
      </c>
      <c r="L41" s="7" t="s">
        <v>47</v>
      </c>
      <c r="M41" s="8" t="s">
        <v>53</v>
      </c>
      <c r="N41" s="90">
        <v>0</v>
      </c>
      <c r="O41" s="9">
        <f>3642-504-1569</f>
        <v>1569</v>
      </c>
      <c r="P41" s="9">
        <f t="shared" si="8"/>
        <v>3138</v>
      </c>
      <c r="Q41" s="9">
        <f t="shared" si="8"/>
        <v>3138</v>
      </c>
      <c r="R41" s="9">
        <f t="shared" si="8"/>
        <v>3138</v>
      </c>
      <c r="S41" s="9">
        <v>0</v>
      </c>
      <c r="T41" s="10">
        <v>353.5</v>
      </c>
      <c r="U41" s="9">
        <v>0</v>
      </c>
      <c r="V41" s="9">
        <f t="shared" ref="V41" si="10">U41*1.12</f>
        <v>0</v>
      </c>
      <c r="W41" s="7" t="s">
        <v>49</v>
      </c>
      <c r="X41" s="91" t="s">
        <v>33</v>
      </c>
      <c r="Y41" s="15" t="s">
        <v>253</v>
      </c>
      <c r="AA41" s="136"/>
    </row>
    <row r="42" spans="1:27" s="92" customFormat="1" ht="165.75" outlineLevel="1" x14ac:dyDescent="0.3">
      <c r="A42" s="15" t="s">
        <v>61</v>
      </c>
      <c r="B42" s="14" t="s">
        <v>26</v>
      </c>
      <c r="C42" s="1" t="s">
        <v>62</v>
      </c>
      <c r="D42" s="1" t="s">
        <v>63</v>
      </c>
      <c r="E42" s="2" t="s">
        <v>64</v>
      </c>
      <c r="F42" s="3" t="s">
        <v>225</v>
      </c>
      <c r="G42" s="15" t="s">
        <v>43</v>
      </c>
      <c r="H42" s="4">
        <v>0.5</v>
      </c>
      <c r="I42" s="2" t="s">
        <v>44</v>
      </c>
      <c r="J42" s="1" t="s">
        <v>45</v>
      </c>
      <c r="K42" s="7" t="s">
        <v>46</v>
      </c>
      <c r="L42" s="7" t="s">
        <v>47</v>
      </c>
      <c r="M42" s="8" t="s">
        <v>53</v>
      </c>
      <c r="N42" s="90">
        <v>0</v>
      </c>
      <c r="O42" s="9">
        <f t="shared" ref="O42:R44" si="11">2707+1176+36+18+24+170-468</f>
        <v>3663</v>
      </c>
      <c r="P42" s="9">
        <f t="shared" si="11"/>
        <v>3663</v>
      </c>
      <c r="Q42" s="9">
        <f t="shared" si="11"/>
        <v>3663</v>
      </c>
      <c r="R42" s="9">
        <f t="shared" si="11"/>
        <v>3663</v>
      </c>
      <c r="S42" s="9">
        <v>0</v>
      </c>
      <c r="T42" s="10">
        <v>651.79</v>
      </c>
      <c r="U42" s="9">
        <v>0</v>
      </c>
      <c r="V42" s="9">
        <f t="shared" si="2"/>
        <v>0</v>
      </c>
      <c r="W42" s="7" t="s">
        <v>49</v>
      </c>
      <c r="X42" s="91" t="s">
        <v>33</v>
      </c>
      <c r="Y42" s="15" t="s">
        <v>231</v>
      </c>
      <c r="AA42" s="136"/>
    </row>
    <row r="43" spans="1:27" s="92" customFormat="1" ht="165.75" outlineLevel="1" x14ac:dyDescent="0.3">
      <c r="A43" s="15" t="s">
        <v>234</v>
      </c>
      <c r="B43" s="14" t="s">
        <v>26</v>
      </c>
      <c r="C43" s="1" t="s">
        <v>62</v>
      </c>
      <c r="D43" s="1" t="s">
        <v>63</v>
      </c>
      <c r="E43" s="2" t="s">
        <v>64</v>
      </c>
      <c r="F43" s="3" t="s">
        <v>225</v>
      </c>
      <c r="G43" s="15" t="s">
        <v>43</v>
      </c>
      <c r="H43" s="4">
        <v>0.5</v>
      </c>
      <c r="I43" s="2" t="s">
        <v>229</v>
      </c>
      <c r="J43" s="1" t="s">
        <v>45</v>
      </c>
      <c r="K43" s="7" t="s">
        <v>46</v>
      </c>
      <c r="L43" s="7" t="s">
        <v>47</v>
      </c>
      <c r="M43" s="8" t="s">
        <v>53</v>
      </c>
      <c r="N43" s="90">
        <v>0</v>
      </c>
      <c r="O43" s="9">
        <f t="shared" si="11"/>
        <v>3663</v>
      </c>
      <c r="P43" s="9">
        <f t="shared" si="11"/>
        <v>3663</v>
      </c>
      <c r="Q43" s="9">
        <f t="shared" si="11"/>
        <v>3663</v>
      </c>
      <c r="R43" s="9">
        <f t="shared" si="11"/>
        <v>3663</v>
      </c>
      <c r="S43" s="9">
        <v>0</v>
      </c>
      <c r="T43" s="10">
        <v>296.18</v>
      </c>
      <c r="U43" s="9">
        <v>0</v>
      </c>
      <c r="V43" s="9">
        <f t="shared" ref="V43" si="12">U43*1.12</f>
        <v>0</v>
      </c>
      <c r="W43" s="7" t="s">
        <v>49</v>
      </c>
      <c r="X43" s="91" t="s">
        <v>33</v>
      </c>
      <c r="Y43" s="15" t="s">
        <v>283</v>
      </c>
      <c r="AA43" s="136"/>
    </row>
    <row r="44" spans="1:27" s="92" customFormat="1" ht="165.75" outlineLevel="1" x14ac:dyDescent="0.3">
      <c r="A44" s="15" t="s">
        <v>285</v>
      </c>
      <c r="B44" s="14" t="s">
        <v>26</v>
      </c>
      <c r="C44" s="1" t="s">
        <v>62</v>
      </c>
      <c r="D44" s="1" t="s">
        <v>63</v>
      </c>
      <c r="E44" s="2" t="s">
        <v>64</v>
      </c>
      <c r="F44" s="3" t="s">
        <v>225</v>
      </c>
      <c r="G44" s="15" t="s">
        <v>282</v>
      </c>
      <c r="H44" s="4">
        <v>0.5</v>
      </c>
      <c r="I44" s="2" t="s">
        <v>325</v>
      </c>
      <c r="J44" s="1" t="s">
        <v>45</v>
      </c>
      <c r="K44" s="7" t="s">
        <v>46</v>
      </c>
      <c r="L44" s="7" t="s">
        <v>47</v>
      </c>
      <c r="M44" s="8" t="s">
        <v>53</v>
      </c>
      <c r="N44" s="90">
        <v>0</v>
      </c>
      <c r="O44" s="9">
        <f>2707+1176+36+18+24+170-468-1831</f>
        <v>1832</v>
      </c>
      <c r="P44" s="9">
        <f t="shared" si="11"/>
        <v>3663</v>
      </c>
      <c r="Q44" s="9">
        <f t="shared" si="11"/>
        <v>3663</v>
      </c>
      <c r="R44" s="9">
        <f t="shared" si="11"/>
        <v>3663</v>
      </c>
      <c r="S44" s="9">
        <v>0</v>
      </c>
      <c r="T44" s="10">
        <v>296.18</v>
      </c>
      <c r="U44" s="9">
        <v>0</v>
      </c>
      <c r="V44" s="9">
        <f t="shared" ref="V44" si="13">U44*1.12</f>
        <v>0</v>
      </c>
      <c r="W44" s="7" t="s">
        <v>49</v>
      </c>
      <c r="X44" s="91" t="s">
        <v>33</v>
      </c>
      <c r="Y44" s="15" t="s">
        <v>253</v>
      </c>
      <c r="AA44" s="136"/>
    </row>
    <row r="45" spans="1:27" s="92" customFormat="1" ht="140.25" outlineLevel="1" x14ac:dyDescent="0.3">
      <c r="A45" s="15" t="s">
        <v>66</v>
      </c>
      <c r="B45" s="14" t="s">
        <v>26</v>
      </c>
      <c r="C45" s="1" t="s">
        <v>67</v>
      </c>
      <c r="D45" s="1" t="s">
        <v>68</v>
      </c>
      <c r="E45" s="2" t="s">
        <v>69</v>
      </c>
      <c r="F45" s="3" t="s">
        <v>70</v>
      </c>
      <c r="G45" s="15" t="s">
        <v>43</v>
      </c>
      <c r="H45" s="4">
        <v>0.5</v>
      </c>
      <c r="I45" s="2" t="s">
        <v>44</v>
      </c>
      <c r="J45" s="1" t="s">
        <v>45</v>
      </c>
      <c r="K45" s="7" t="s">
        <v>46</v>
      </c>
      <c r="L45" s="7" t="s">
        <v>47</v>
      </c>
      <c r="M45" s="8" t="s">
        <v>53</v>
      </c>
      <c r="N45" s="90">
        <v>0</v>
      </c>
      <c r="O45" s="9">
        <f t="shared" ref="O45:R47" si="14">1788+1176+48+24+48+200-252</f>
        <v>3032</v>
      </c>
      <c r="P45" s="9">
        <f t="shared" si="14"/>
        <v>3032</v>
      </c>
      <c r="Q45" s="9">
        <f t="shared" si="14"/>
        <v>3032</v>
      </c>
      <c r="R45" s="9">
        <f t="shared" si="14"/>
        <v>3032</v>
      </c>
      <c r="S45" s="9">
        <v>0</v>
      </c>
      <c r="T45" s="10">
        <v>128.57</v>
      </c>
      <c r="U45" s="9">
        <v>0</v>
      </c>
      <c r="V45" s="9">
        <f t="shared" si="2"/>
        <v>0</v>
      </c>
      <c r="W45" s="7" t="s">
        <v>49</v>
      </c>
      <c r="X45" s="91" t="s">
        <v>33</v>
      </c>
      <c r="Y45" s="15" t="s">
        <v>231</v>
      </c>
      <c r="AA45" s="136"/>
    </row>
    <row r="46" spans="1:27" s="92" customFormat="1" ht="140.25" outlineLevel="1" x14ac:dyDescent="0.3">
      <c r="A46" s="15" t="s">
        <v>235</v>
      </c>
      <c r="B46" s="14" t="s">
        <v>26</v>
      </c>
      <c r="C46" s="1" t="s">
        <v>67</v>
      </c>
      <c r="D46" s="1" t="s">
        <v>68</v>
      </c>
      <c r="E46" s="2" t="s">
        <v>69</v>
      </c>
      <c r="F46" s="3" t="s">
        <v>70</v>
      </c>
      <c r="G46" s="15" t="s">
        <v>43</v>
      </c>
      <c r="H46" s="4">
        <v>0.5</v>
      </c>
      <c r="I46" s="2" t="s">
        <v>229</v>
      </c>
      <c r="J46" s="1" t="s">
        <v>45</v>
      </c>
      <c r="K46" s="7" t="s">
        <v>46</v>
      </c>
      <c r="L46" s="7" t="s">
        <v>47</v>
      </c>
      <c r="M46" s="8" t="s">
        <v>53</v>
      </c>
      <c r="N46" s="90">
        <v>0</v>
      </c>
      <c r="O46" s="9">
        <f t="shared" si="14"/>
        <v>3032</v>
      </c>
      <c r="P46" s="9">
        <f t="shared" si="14"/>
        <v>3032</v>
      </c>
      <c r="Q46" s="9">
        <f t="shared" si="14"/>
        <v>3032</v>
      </c>
      <c r="R46" s="9">
        <f t="shared" si="14"/>
        <v>3032</v>
      </c>
      <c r="S46" s="9">
        <v>0</v>
      </c>
      <c r="T46" s="10">
        <v>117.5</v>
      </c>
      <c r="U46" s="9">
        <v>0</v>
      </c>
      <c r="V46" s="9">
        <f t="shared" ref="V46" si="15">U46*1.12</f>
        <v>0</v>
      </c>
      <c r="W46" s="7" t="s">
        <v>49</v>
      </c>
      <c r="X46" s="91" t="s">
        <v>33</v>
      </c>
      <c r="Y46" s="15">
        <v>7.9</v>
      </c>
      <c r="AA46" s="136"/>
    </row>
    <row r="47" spans="1:27" s="92" customFormat="1" ht="140.25" outlineLevel="1" x14ac:dyDescent="0.3">
      <c r="A47" s="15" t="s">
        <v>286</v>
      </c>
      <c r="B47" s="14" t="s">
        <v>26</v>
      </c>
      <c r="C47" s="1" t="s">
        <v>67</v>
      </c>
      <c r="D47" s="1" t="s">
        <v>68</v>
      </c>
      <c r="E47" s="2" t="s">
        <v>69</v>
      </c>
      <c r="F47" s="3" t="s">
        <v>70</v>
      </c>
      <c r="G47" s="15" t="s">
        <v>282</v>
      </c>
      <c r="H47" s="4">
        <v>0.5</v>
      </c>
      <c r="I47" s="2" t="s">
        <v>325</v>
      </c>
      <c r="J47" s="1" t="s">
        <v>45</v>
      </c>
      <c r="K47" s="7" t="s">
        <v>46</v>
      </c>
      <c r="L47" s="7" t="s">
        <v>47</v>
      </c>
      <c r="M47" s="8" t="s">
        <v>53</v>
      </c>
      <c r="N47" s="90">
        <v>0</v>
      </c>
      <c r="O47" s="9">
        <f t="shared" si="14"/>
        <v>3032</v>
      </c>
      <c r="P47" s="9">
        <f t="shared" si="14"/>
        <v>3032</v>
      </c>
      <c r="Q47" s="9">
        <f t="shared" si="14"/>
        <v>3032</v>
      </c>
      <c r="R47" s="9">
        <f t="shared" si="14"/>
        <v>3032</v>
      </c>
      <c r="S47" s="9">
        <v>0</v>
      </c>
      <c r="T47" s="10">
        <v>117.5</v>
      </c>
      <c r="U47" s="9">
        <v>0</v>
      </c>
      <c r="V47" s="9">
        <f t="shared" ref="V47" si="16">U47*1.12</f>
        <v>0</v>
      </c>
      <c r="W47" s="7" t="s">
        <v>49</v>
      </c>
      <c r="X47" s="91" t="s">
        <v>33</v>
      </c>
      <c r="Y47" s="15" t="s">
        <v>253</v>
      </c>
      <c r="AA47" s="136"/>
    </row>
    <row r="48" spans="1:27" s="92" customFormat="1" ht="89.25" outlineLevel="1" x14ac:dyDescent="0.3">
      <c r="A48" s="15" t="s">
        <v>71</v>
      </c>
      <c r="B48" s="14" t="s">
        <v>26</v>
      </c>
      <c r="C48" s="3" t="s">
        <v>72</v>
      </c>
      <c r="D48" s="3" t="s">
        <v>73</v>
      </c>
      <c r="E48" s="3" t="s">
        <v>74</v>
      </c>
      <c r="F48" s="3" t="s">
        <v>75</v>
      </c>
      <c r="G48" s="15" t="s">
        <v>43</v>
      </c>
      <c r="H48" s="4">
        <v>0.5</v>
      </c>
      <c r="I48" s="2" t="s">
        <v>44</v>
      </c>
      <c r="J48" s="1" t="s">
        <v>45</v>
      </c>
      <c r="K48" s="7" t="s">
        <v>46</v>
      </c>
      <c r="L48" s="7" t="s">
        <v>47</v>
      </c>
      <c r="M48" s="8" t="s">
        <v>76</v>
      </c>
      <c r="N48" s="90">
        <v>0</v>
      </c>
      <c r="O48" s="9">
        <f t="shared" ref="O48:R50" si="17">4368+470+10+19+40+336-504</f>
        <v>4739</v>
      </c>
      <c r="P48" s="9">
        <f t="shared" si="17"/>
        <v>4739</v>
      </c>
      <c r="Q48" s="9">
        <f t="shared" si="17"/>
        <v>4739</v>
      </c>
      <c r="R48" s="9">
        <f t="shared" si="17"/>
        <v>4739</v>
      </c>
      <c r="S48" s="9">
        <v>0</v>
      </c>
      <c r="T48" s="10">
        <v>73.209999999999994</v>
      </c>
      <c r="U48" s="9">
        <v>0</v>
      </c>
      <c r="V48" s="9">
        <f t="shared" si="2"/>
        <v>0</v>
      </c>
      <c r="W48" s="7" t="s">
        <v>49</v>
      </c>
      <c r="X48" s="91" t="s">
        <v>33</v>
      </c>
      <c r="Y48" s="15" t="s">
        <v>231</v>
      </c>
      <c r="AA48" s="136"/>
    </row>
    <row r="49" spans="1:27" s="92" customFormat="1" ht="89.25" outlineLevel="1" x14ac:dyDescent="0.3">
      <c r="A49" s="15" t="s">
        <v>236</v>
      </c>
      <c r="B49" s="14" t="s">
        <v>26</v>
      </c>
      <c r="C49" s="3" t="s">
        <v>72</v>
      </c>
      <c r="D49" s="3" t="s">
        <v>73</v>
      </c>
      <c r="E49" s="3" t="s">
        <v>74</v>
      </c>
      <c r="F49" s="3" t="s">
        <v>75</v>
      </c>
      <c r="G49" s="15" t="s">
        <v>43</v>
      </c>
      <c r="H49" s="4">
        <v>0.5</v>
      </c>
      <c r="I49" s="2" t="s">
        <v>229</v>
      </c>
      <c r="J49" s="1" t="s">
        <v>45</v>
      </c>
      <c r="K49" s="7" t="s">
        <v>46</v>
      </c>
      <c r="L49" s="7" t="s">
        <v>47</v>
      </c>
      <c r="M49" s="8" t="s">
        <v>76</v>
      </c>
      <c r="N49" s="90">
        <v>0</v>
      </c>
      <c r="O49" s="9">
        <f t="shared" si="17"/>
        <v>4739</v>
      </c>
      <c r="P49" s="9">
        <f t="shared" si="17"/>
        <v>4739</v>
      </c>
      <c r="Q49" s="9">
        <f t="shared" si="17"/>
        <v>4739</v>
      </c>
      <c r="R49" s="9">
        <f t="shared" si="17"/>
        <v>4739</v>
      </c>
      <c r="S49" s="9">
        <v>0</v>
      </c>
      <c r="T49" s="10">
        <v>44.42</v>
      </c>
      <c r="U49" s="9">
        <v>0</v>
      </c>
      <c r="V49" s="9">
        <f t="shared" ref="V49:V51" si="18">U49*1.12</f>
        <v>0</v>
      </c>
      <c r="W49" s="7" t="s">
        <v>49</v>
      </c>
      <c r="X49" s="91" t="s">
        <v>33</v>
      </c>
      <c r="Y49" s="15" t="s">
        <v>283</v>
      </c>
      <c r="AA49" s="136"/>
    </row>
    <row r="50" spans="1:27" s="92" customFormat="1" ht="89.25" outlineLevel="1" x14ac:dyDescent="0.3">
      <c r="A50" s="15" t="s">
        <v>287</v>
      </c>
      <c r="B50" s="14" t="s">
        <v>26</v>
      </c>
      <c r="C50" s="3" t="s">
        <v>72</v>
      </c>
      <c r="D50" s="3" t="s">
        <v>73</v>
      </c>
      <c r="E50" s="3" t="s">
        <v>74</v>
      </c>
      <c r="F50" s="3" t="s">
        <v>75</v>
      </c>
      <c r="G50" s="15" t="s">
        <v>282</v>
      </c>
      <c r="H50" s="4">
        <v>0.5</v>
      </c>
      <c r="I50" s="2" t="s">
        <v>325</v>
      </c>
      <c r="J50" s="1" t="s">
        <v>45</v>
      </c>
      <c r="K50" s="7" t="s">
        <v>46</v>
      </c>
      <c r="L50" s="7" t="s">
        <v>47</v>
      </c>
      <c r="M50" s="8" t="s">
        <v>76</v>
      </c>
      <c r="N50" s="90">
        <v>0</v>
      </c>
      <c r="O50" s="9">
        <f>4368+470+10+19+40+336-504-2369</f>
        <v>2370</v>
      </c>
      <c r="P50" s="9">
        <f t="shared" si="17"/>
        <v>4739</v>
      </c>
      <c r="Q50" s="9">
        <f t="shared" si="17"/>
        <v>4739</v>
      </c>
      <c r="R50" s="9">
        <f t="shared" si="17"/>
        <v>4739</v>
      </c>
      <c r="S50" s="9">
        <v>0</v>
      </c>
      <c r="T50" s="10">
        <v>44.42</v>
      </c>
      <c r="U50" s="9">
        <v>0</v>
      </c>
      <c r="V50" s="9">
        <f t="shared" ref="V50" si="19">U50*1.12</f>
        <v>0</v>
      </c>
      <c r="W50" s="7" t="s">
        <v>49</v>
      </c>
      <c r="X50" s="91" t="s">
        <v>33</v>
      </c>
      <c r="Y50" s="15" t="s">
        <v>253</v>
      </c>
      <c r="AA50" s="136"/>
    </row>
    <row r="51" spans="1:27" s="92" customFormat="1" ht="204" outlineLevel="1" x14ac:dyDescent="0.3">
      <c r="A51" s="15" t="s">
        <v>77</v>
      </c>
      <c r="B51" s="14" t="s">
        <v>26</v>
      </c>
      <c r="C51" s="1" t="s">
        <v>78</v>
      </c>
      <c r="D51" s="1" t="s">
        <v>79</v>
      </c>
      <c r="E51" s="2" t="s">
        <v>80</v>
      </c>
      <c r="F51" s="3" t="s">
        <v>81</v>
      </c>
      <c r="G51" s="15" t="s">
        <v>43</v>
      </c>
      <c r="H51" s="4">
        <v>0.5</v>
      </c>
      <c r="I51" s="2" t="s">
        <v>44</v>
      </c>
      <c r="J51" s="1" t="s">
        <v>45</v>
      </c>
      <c r="K51" s="7" t="s">
        <v>46</v>
      </c>
      <c r="L51" s="7" t="s">
        <v>47</v>
      </c>
      <c r="M51" s="8" t="s">
        <v>76</v>
      </c>
      <c r="N51" s="90">
        <v>0</v>
      </c>
      <c r="O51" s="9">
        <f t="shared" ref="O51:R53" si="20">880+420+4+72+288</f>
        <v>1664</v>
      </c>
      <c r="P51" s="9">
        <f t="shared" si="20"/>
        <v>1664</v>
      </c>
      <c r="Q51" s="9">
        <f t="shared" si="20"/>
        <v>1664</v>
      </c>
      <c r="R51" s="9">
        <f t="shared" si="20"/>
        <v>1664</v>
      </c>
      <c r="S51" s="9">
        <v>0</v>
      </c>
      <c r="T51" s="10">
        <v>397</v>
      </c>
      <c r="U51" s="9">
        <v>0</v>
      </c>
      <c r="V51" s="9">
        <f t="shared" si="18"/>
        <v>0</v>
      </c>
      <c r="W51" s="7" t="s">
        <v>49</v>
      </c>
      <c r="X51" s="91" t="s">
        <v>33</v>
      </c>
      <c r="Y51" s="15" t="s">
        <v>231</v>
      </c>
      <c r="AA51" s="136"/>
    </row>
    <row r="52" spans="1:27" s="92" customFormat="1" ht="204" outlineLevel="1" x14ac:dyDescent="0.3">
      <c r="A52" s="15" t="s">
        <v>237</v>
      </c>
      <c r="B52" s="14" t="s">
        <v>26</v>
      </c>
      <c r="C52" s="1" t="s">
        <v>78</v>
      </c>
      <c r="D52" s="1" t="s">
        <v>79</v>
      </c>
      <c r="E52" s="2" t="s">
        <v>80</v>
      </c>
      <c r="F52" s="3" t="s">
        <v>81</v>
      </c>
      <c r="G52" s="15" t="s">
        <v>43</v>
      </c>
      <c r="H52" s="4">
        <v>0.5</v>
      </c>
      <c r="I52" s="2" t="s">
        <v>229</v>
      </c>
      <c r="J52" s="1" t="s">
        <v>45</v>
      </c>
      <c r="K52" s="7" t="s">
        <v>46</v>
      </c>
      <c r="L52" s="7" t="s">
        <v>47</v>
      </c>
      <c r="M52" s="8" t="s">
        <v>76</v>
      </c>
      <c r="N52" s="90">
        <v>0</v>
      </c>
      <c r="O52" s="9">
        <f t="shared" si="20"/>
        <v>1664</v>
      </c>
      <c r="P52" s="9">
        <f t="shared" si="20"/>
        <v>1664</v>
      </c>
      <c r="Q52" s="9">
        <f t="shared" si="20"/>
        <v>1664</v>
      </c>
      <c r="R52" s="9">
        <f t="shared" si="20"/>
        <v>1664</v>
      </c>
      <c r="S52" s="9">
        <v>0</v>
      </c>
      <c r="T52" s="10">
        <v>253.5</v>
      </c>
      <c r="U52" s="9">
        <v>0</v>
      </c>
      <c r="V52" s="9">
        <f t="shared" si="2"/>
        <v>0</v>
      </c>
      <c r="W52" s="7" t="s">
        <v>49</v>
      </c>
      <c r="X52" s="91" t="s">
        <v>33</v>
      </c>
      <c r="Y52" s="15" t="s">
        <v>283</v>
      </c>
      <c r="AA52" s="136"/>
    </row>
    <row r="53" spans="1:27" s="92" customFormat="1" ht="204" outlineLevel="1" x14ac:dyDescent="0.3">
      <c r="A53" s="15" t="s">
        <v>288</v>
      </c>
      <c r="B53" s="14" t="s">
        <v>26</v>
      </c>
      <c r="C53" s="1" t="s">
        <v>78</v>
      </c>
      <c r="D53" s="1" t="s">
        <v>79</v>
      </c>
      <c r="E53" s="2" t="s">
        <v>80</v>
      </c>
      <c r="F53" s="3" t="s">
        <v>81</v>
      </c>
      <c r="G53" s="15" t="s">
        <v>282</v>
      </c>
      <c r="H53" s="4">
        <v>0.5</v>
      </c>
      <c r="I53" s="2" t="s">
        <v>325</v>
      </c>
      <c r="J53" s="1" t="s">
        <v>45</v>
      </c>
      <c r="K53" s="7" t="s">
        <v>46</v>
      </c>
      <c r="L53" s="7" t="s">
        <v>47</v>
      </c>
      <c r="M53" s="8" t="s">
        <v>76</v>
      </c>
      <c r="N53" s="90">
        <v>0</v>
      </c>
      <c r="O53" s="9">
        <f>880+420+4+72+288-832</f>
        <v>832</v>
      </c>
      <c r="P53" s="9">
        <f t="shared" si="20"/>
        <v>1664</v>
      </c>
      <c r="Q53" s="9">
        <f t="shared" si="20"/>
        <v>1664</v>
      </c>
      <c r="R53" s="9">
        <f t="shared" si="20"/>
        <v>1664</v>
      </c>
      <c r="S53" s="9">
        <v>0</v>
      </c>
      <c r="T53" s="10">
        <v>253.5</v>
      </c>
      <c r="U53" s="9">
        <v>0</v>
      </c>
      <c r="V53" s="9">
        <f t="shared" ref="V53" si="21">U53*1.12</f>
        <v>0</v>
      </c>
      <c r="W53" s="7" t="s">
        <v>49</v>
      </c>
      <c r="X53" s="91" t="s">
        <v>33</v>
      </c>
      <c r="Y53" s="15" t="s">
        <v>253</v>
      </c>
      <c r="AA53" s="136"/>
    </row>
    <row r="54" spans="1:27" s="92" customFormat="1" ht="114.75" outlineLevel="1" x14ac:dyDescent="0.3">
      <c r="A54" s="15" t="s">
        <v>82</v>
      </c>
      <c r="B54" s="14" t="s">
        <v>26</v>
      </c>
      <c r="C54" s="1" t="s">
        <v>83</v>
      </c>
      <c r="D54" s="1" t="s">
        <v>79</v>
      </c>
      <c r="E54" s="2" t="s">
        <v>80</v>
      </c>
      <c r="F54" s="3" t="s">
        <v>84</v>
      </c>
      <c r="G54" s="15" t="s">
        <v>43</v>
      </c>
      <c r="H54" s="4">
        <v>0.5</v>
      </c>
      <c r="I54" s="2" t="s">
        <v>44</v>
      </c>
      <c r="J54" s="1" t="s">
        <v>45</v>
      </c>
      <c r="K54" s="7" t="s">
        <v>46</v>
      </c>
      <c r="L54" s="7" t="s">
        <v>47</v>
      </c>
      <c r="M54" s="8" t="s">
        <v>48</v>
      </c>
      <c r="N54" s="90">
        <v>0</v>
      </c>
      <c r="O54" s="9">
        <f t="shared" ref="O54:R56" si="22">3025+960+198+12+332+71</f>
        <v>4598</v>
      </c>
      <c r="P54" s="9">
        <f t="shared" si="22"/>
        <v>4598</v>
      </c>
      <c r="Q54" s="9">
        <f t="shared" si="22"/>
        <v>4598</v>
      </c>
      <c r="R54" s="9">
        <f t="shared" si="22"/>
        <v>4598</v>
      </c>
      <c r="S54" s="9">
        <v>0</v>
      </c>
      <c r="T54" s="10">
        <v>305</v>
      </c>
      <c r="U54" s="9">
        <v>0</v>
      </c>
      <c r="V54" s="9">
        <f t="shared" si="2"/>
        <v>0</v>
      </c>
      <c r="W54" s="7" t="s">
        <v>49</v>
      </c>
      <c r="X54" s="91" t="s">
        <v>33</v>
      </c>
      <c r="Y54" s="15" t="s">
        <v>231</v>
      </c>
      <c r="AA54" s="136"/>
    </row>
    <row r="55" spans="1:27" s="92" customFormat="1" ht="114.75" outlineLevel="1" x14ac:dyDescent="0.3">
      <c r="A55" s="15" t="s">
        <v>238</v>
      </c>
      <c r="B55" s="14" t="s">
        <v>26</v>
      </c>
      <c r="C55" s="1" t="s">
        <v>83</v>
      </c>
      <c r="D55" s="1" t="s">
        <v>79</v>
      </c>
      <c r="E55" s="2" t="s">
        <v>80</v>
      </c>
      <c r="F55" s="3" t="s">
        <v>84</v>
      </c>
      <c r="G55" s="15" t="s">
        <v>43</v>
      </c>
      <c r="H55" s="4">
        <v>0.5</v>
      </c>
      <c r="I55" s="2" t="s">
        <v>229</v>
      </c>
      <c r="J55" s="1" t="s">
        <v>45</v>
      </c>
      <c r="K55" s="7" t="s">
        <v>46</v>
      </c>
      <c r="L55" s="7" t="s">
        <v>47</v>
      </c>
      <c r="M55" s="8" t="s">
        <v>48</v>
      </c>
      <c r="N55" s="90">
        <v>0</v>
      </c>
      <c r="O55" s="9">
        <f t="shared" si="22"/>
        <v>4598</v>
      </c>
      <c r="P55" s="9">
        <f t="shared" si="22"/>
        <v>4598</v>
      </c>
      <c r="Q55" s="9">
        <f t="shared" si="22"/>
        <v>4598</v>
      </c>
      <c r="R55" s="9">
        <f t="shared" si="22"/>
        <v>4598</v>
      </c>
      <c r="S55" s="9">
        <v>0</v>
      </c>
      <c r="T55" s="10">
        <v>201</v>
      </c>
      <c r="U55" s="9">
        <v>0</v>
      </c>
      <c r="V55" s="9">
        <f t="shared" ref="V55" si="23">U55*1.12</f>
        <v>0</v>
      </c>
      <c r="W55" s="7" t="s">
        <v>49</v>
      </c>
      <c r="X55" s="91" t="s">
        <v>33</v>
      </c>
      <c r="Y55" s="15" t="s">
        <v>283</v>
      </c>
      <c r="AA55" s="136"/>
    </row>
    <row r="56" spans="1:27" s="92" customFormat="1" ht="114.75" outlineLevel="1" x14ac:dyDescent="0.3">
      <c r="A56" s="15" t="s">
        <v>289</v>
      </c>
      <c r="B56" s="14" t="s">
        <v>26</v>
      </c>
      <c r="C56" s="1" t="s">
        <v>83</v>
      </c>
      <c r="D56" s="1" t="s">
        <v>79</v>
      </c>
      <c r="E56" s="2" t="s">
        <v>80</v>
      </c>
      <c r="F56" s="3" t="s">
        <v>84</v>
      </c>
      <c r="G56" s="15" t="s">
        <v>282</v>
      </c>
      <c r="H56" s="4">
        <v>0.5</v>
      </c>
      <c r="I56" s="2" t="s">
        <v>325</v>
      </c>
      <c r="J56" s="1" t="s">
        <v>45</v>
      </c>
      <c r="K56" s="7" t="s">
        <v>46</v>
      </c>
      <c r="L56" s="7" t="s">
        <v>47</v>
      </c>
      <c r="M56" s="8" t="s">
        <v>48</v>
      </c>
      <c r="N56" s="90">
        <v>0</v>
      </c>
      <c r="O56" s="9">
        <f>3025+960+198+12+332+71-2299</f>
        <v>2299</v>
      </c>
      <c r="P56" s="9">
        <f t="shared" si="22"/>
        <v>4598</v>
      </c>
      <c r="Q56" s="9">
        <f t="shared" si="22"/>
        <v>4598</v>
      </c>
      <c r="R56" s="9">
        <f t="shared" si="22"/>
        <v>4598</v>
      </c>
      <c r="S56" s="9">
        <v>0</v>
      </c>
      <c r="T56" s="10">
        <v>201</v>
      </c>
      <c r="U56" s="9">
        <v>0</v>
      </c>
      <c r="V56" s="9">
        <f t="shared" ref="V56" si="24">U56*1.12</f>
        <v>0</v>
      </c>
      <c r="W56" s="7" t="s">
        <v>49</v>
      </c>
      <c r="X56" s="91" t="s">
        <v>33</v>
      </c>
      <c r="Y56" s="15" t="s">
        <v>253</v>
      </c>
      <c r="AA56" s="136"/>
    </row>
    <row r="57" spans="1:27" s="92" customFormat="1" ht="127.5" outlineLevel="1" x14ac:dyDescent="0.3">
      <c r="A57" s="15" t="s">
        <v>85</v>
      </c>
      <c r="B57" s="14" t="s">
        <v>26</v>
      </c>
      <c r="C57" s="1" t="s">
        <v>86</v>
      </c>
      <c r="D57" s="1" t="s">
        <v>87</v>
      </c>
      <c r="E57" s="2" t="s">
        <v>88</v>
      </c>
      <c r="F57" s="3" t="s">
        <v>89</v>
      </c>
      <c r="G57" s="15" t="s">
        <v>43</v>
      </c>
      <c r="H57" s="4">
        <v>0.5</v>
      </c>
      <c r="I57" s="2" t="s">
        <v>44</v>
      </c>
      <c r="J57" s="1" t="s">
        <v>45</v>
      </c>
      <c r="K57" s="7" t="s">
        <v>46</v>
      </c>
      <c r="L57" s="7" t="s">
        <v>47</v>
      </c>
      <c r="M57" s="8" t="s">
        <v>76</v>
      </c>
      <c r="N57" s="90">
        <v>0</v>
      </c>
      <c r="O57" s="9">
        <f t="shared" ref="O57:R59" si="25">5+288+20</f>
        <v>313</v>
      </c>
      <c r="P57" s="9">
        <f t="shared" si="25"/>
        <v>313</v>
      </c>
      <c r="Q57" s="9">
        <f t="shared" si="25"/>
        <v>313</v>
      </c>
      <c r="R57" s="9">
        <f t="shared" si="25"/>
        <v>313</v>
      </c>
      <c r="S57" s="9">
        <v>0</v>
      </c>
      <c r="T57" s="10">
        <v>616.07000000000005</v>
      </c>
      <c r="U57" s="9">
        <v>0</v>
      </c>
      <c r="V57" s="9">
        <f t="shared" si="2"/>
        <v>0</v>
      </c>
      <c r="W57" s="7" t="s">
        <v>49</v>
      </c>
      <c r="X57" s="91" t="s">
        <v>33</v>
      </c>
      <c r="Y57" s="15" t="s">
        <v>231</v>
      </c>
      <c r="AA57" s="136"/>
    </row>
    <row r="58" spans="1:27" s="92" customFormat="1" ht="127.5" outlineLevel="1" x14ac:dyDescent="0.3">
      <c r="A58" s="15" t="s">
        <v>239</v>
      </c>
      <c r="B58" s="14" t="s">
        <v>26</v>
      </c>
      <c r="C58" s="1" t="s">
        <v>86</v>
      </c>
      <c r="D58" s="1" t="s">
        <v>87</v>
      </c>
      <c r="E58" s="2" t="s">
        <v>88</v>
      </c>
      <c r="F58" s="3" t="s">
        <v>89</v>
      </c>
      <c r="G58" s="15" t="s">
        <v>43</v>
      </c>
      <c r="H58" s="4">
        <v>0.5</v>
      </c>
      <c r="I58" s="2" t="s">
        <v>229</v>
      </c>
      <c r="J58" s="1" t="s">
        <v>45</v>
      </c>
      <c r="K58" s="7" t="s">
        <v>46</v>
      </c>
      <c r="L58" s="7" t="s">
        <v>47</v>
      </c>
      <c r="M58" s="8" t="s">
        <v>76</v>
      </c>
      <c r="N58" s="90">
        <v>0</v>
      </c>
      <c r="O58" s="9">
        <f t="shared" si="25"/>
        <v>313</v>
      </c>
      <c r="P58" s="9">
        <f t="shared" si="25"/>
        <v>313</v>
      </c>
      <c r="Q58" s="9">
        <f t="shared" si="25"/>
        <v>313</v>
      </c>
      <c r="R58" s="9">
        <f t="shared" si="25"/>
        <v>313</v>
      </c>
      <c r="S58" s="9">
        <v>0</v>
      </c>
      <c r="T58" s="10">
        <v>349</v>
      </c>
      <c r="U58" s="9">
        <v>0</v>
      </c>
      <c r="V58" s="9">
        <f t="shared" ref="V58" si="26">U58*1.12</f>
        <v>0</v>
      </c>
      <c r="W58" s="7" t="s">
        <v>49</v>
      </c>
      <c r="X58" s="91" t="s">
        <v>33</v>
      </c>
      <c r="Y58" s="15">
        <v>7.9</v>
      </c>
      <c r="AA58" s="136"/>
    </row>
    <row r="59" spans="1:27" s="92" customFormat="1" ht="127.5" outlineLevel="1" x14ac:dyDescent="0.3">
      <c r="A59" s="15" t="s">
        <v>290</v>
      </c>
      <c r="B59" s="14" t="s">
        <v>26</v>
      </c>
      <c r="C59" s="1" t="s">
        <v>86</v>
      </c>
      <c r="D59" s="1" t="s">
        <v>87</v>
      </c>
      <c r="E59" s="2" t="s">
        <v>88</v>
      </c>
      <c r="F59" s="3" t="s">
        <v>89</v>
      </c>
      <c r="G59" s="15" t="s">
        <v>282</v>
      </c>
      <c r="H59" s="4">
        <v>0.5</v>
      </c>
      <c r="I59" s="2" t="s">
        <v>325</v>
      </c>
      <c r="J59" s="1" t="s">
        <v>45</v>
      </c>
      <c r="K59" s="7" t="s">
        <v>46</v>
      </c>
      <c r="L59" s="7" t="s">
        <v>47</v>
      </c>
      <c r="M59" s="8" t="s">
        <v>76</v>
      </c>
      <c r="N59" s="90">
        <v>0</v>
      </c>
      <c r="O59" s="9">
        <f t="shared" si="25"/>
        <v>313</v>
      </c>
      <c r="P59" s="9">
        <f t="shared" si="25"/>
        <v>313</v>
      </c>
      <c r="Q59" s="9">
        <f t="shared" si="25"/>
        <v>313</v>
      </c>
      <c r="R59" s="9">
        <f t="shared" si="25"/>
        <v>313</v>
      </c>
      <c r="S59" s="9">
        <v>0</v>
      </c>
      <c r="T59" s="10">
        <v>349</v>
      </c>
      <c r="U59" s="9">
        <v>0</v>
      </c>
      <c r="V59" s="9">
        <f t="shared" ref="V59" si="27">U59*1.12</f>
        <v>0</v>
      </c>
      <c r="W59" s="7" t="s">
        <v>49</v>
      </c>
      <c r="X59" s="91" t="s">
        <v>33</v>
      </c>
      <c r="Y59" s="15" t="s">
        <v>253</v>
      </c>
      <c r="AA59" s="136"/>
    </row>
    <row r="60" spans="1:27" s="92" customFormat="1" ht="89.25" outlineLevel="1" x14ac:dyDescent="0.3">
      <c r="A60" s="15" t="s">
        <v>90</v>
      </c>
      <c r="B60" s="14" t="s">
        <v>26</v>
      </c>
      <c r="C60" s="1" t="s">
        <v>91</v>
      </c>
      <c r="D60" s="1" t="s">
        <v>92</v>
      </c>
      <c r="E60" s="2" t="s">
        <v>93</v>
      </c>
      <c r="F60" s="3" t="s">
        <v>94</v>
      </c>
      <c r="G60" s="15" t="s">
        <v>43</v>
      </c>
      <c r="H60" s="4">
        <v>0.5</v>
      </c>
      <c r="I60" s="2" t="s">
        <v>44</v>
      </c>
      <c r="J60" s="1" t="s">
        <v>45</v>
      </c>
      <c r="K60" s="7" t="s">
        <v>46</v>
      </c>
      <c r="L60" s="7" t="s">
        <v>47</v>
      </c>
      <c r="M60" s="8" t="s">
        <v>76</v>
      </c>
      <c r="N60" s="90">
        <v>0</v>
      </c>
      <c r="O60" s="9">
        <f t="shared" ref="O60:R62" si="28">250+1220+7+48+24+600</f>
        <v>2149</v>
      </c>
      <c r="P60" s="9">
        <f t="shared" si="28"/>
        <v>2149</v>
      </c>
      <c r="Q60" s="9">
        <f t="shared" si="28"/>
        <v>2149</v>
      </c>
      <c r="R60" s="9">
        <f t="shared" si="28"/>
        <v>2149</v>
      </c>
      <c r="S60" s="9">
        <v>0</v>
      </c>
      <c r="T60" s="10">
        <v>361.61</v>
      </c>
      <c r="U60" s="9">
        <v>0</v>
      </c>
      <c r="V60" s="9">
        <f t="shared" si="2"/>
        <v>0</v>
      </c>
      <c r="W60" s="7" t="s">
        <v>49</v>
      </c>
      <c r="X60" s="91" t="s">
        <v>33</v>
      </c>
      <c r="Y60" s="15" t="s">
        <v>231</v>
      </c>
      <c r="AA60" s="136"/>
    </row>
    <row r="61" spans="1:27" s="92" customFormat="1" ht="89.25" outlineLevel="1" x14ac:dyDescent="0.3">
      <c r="A61" s="15" t="s">
        <v>240</v>
      </c>
      <c r="B61" s="14" t="s">
        <v>26</v>
      </c>
      <c r="C61" s="1" t="s">
        <v>91</v>
      </c>
      <c r="D61" s="1" t="s">
        <v>92</v>
      </c>
      <c r="E61" s="2" t="s">
        <v>93</v>
      </c>
      <c r="F61" s="3" t="s">
        <v>94</v>
      </c>
      <c r="G61" s="15" t="s">
        <v>43</v>
      </c>
      <c r="H61" s="4">
        <v>0.5</v>
      </c>
      <c r="I61" s="2" t="s">
        <v>229</v>
      </c>
      <c r="J61" s="1" t="s">
        <v>45</v>
      </c>
      <c r="K61" s="7" t="s">
        <v>46</v>
      </c>
      <c r="L61" s="7" t="s">
        <v>47</v>
      </c>
      <c r="M61" s="8" t="s">
        <v>76</v>
      </c>
      <c r="N61" s="90">
        <v>0</v>
      </c>
      <c r="O61" s="9">
        <f t="shared" si="28"/>
        <v>2149</v>
      </c>
      <c r="P61" s="9">
        <f t="shared" si="28"/>
        <v>2149</v>
      </c>
      <c r="Q61" s="9">
        <f t="shared" si="28"/>
        <v>2149</v>
      </c>
      <c r="R61" s="9">
        <f t="shared" si="28"/>
        <v>2149</v>
      </c>
      <c r="S61" s="9">
        <v>0</v>
      </c>
      <c r="T61" s="10">
        <v>208.93</v>
      </c>
      <c r="U61" s="9">
        <v>0</v>
      </c>
      <c r="V61" s="9">
        <f t="shared" ref="V61" si="29">U61*1.12</f>
        <v>0</v>
      </c>
      <c r="W61" s="7" t="s">
        <v>49</v>
      </c>
      <c r="X61" s="91" t="s">
        <v>33</v>
      </c>
      <c r="Y61" s="15">
        <v>7.9</v>
      </c>
      <c r="AA61" s="136"/>
    </row>
    <row r="62" spans="1:27" s="92" customFormat="1" ht="89.25" outlineLevel="1" x14ac:dyDescent="0.3">
      <c r="A62" s="15" t="s">
        <v>291</v>
      </c>
      <c r="B62" s="14" t="s">
        <v>26</v>
      </c>
      <c r="C62" s="1" t="s">
        <v>91</v>
      </c>
      <c r="D62" s="1" t="s">
        <v>92</v>
      </c>
      <c r="E62" s="2" t="s">
        <v>93</v>
      </c>
      <c r="F62" s="3" t="s">
        <v>94</v>
      </c>
      <c r="G62" s="15" t="s">
        <v>282</v>
      </c>
      <c r="H62" s="4">
        <v>0.5</v>
      </c>
      <c r="I62" s="2" t="s">
        <v>325</v>
      </c>
      <c r="J62" s="1" t="s">
        <v>45</v>
      </c>
      <c r="K62" s="7" t="s">
        <v>46</v>
      </c>
      <c r="L62" s="7" t="s">
        <v>47</v>
      </c>
      <c r="M62" s="8" t="s">
        <v>76</v>
      </c>
      <c r="N62" s="90">
        <v>0</v>
      </c>
      <c r="O62" s="9">
        <f t="shared" si="28"/>
        <v>2149</v>
      </c>
      <c r="P62" s="9">
        <f t="shared" si="28"/>
        <v>2149</v>
      </c>
      <c r="Q62" s="9">
        <f t="shared" si="28"/>
        <v>2149</v>
      </c>
      <c r="R62" s="9">
        <f t="shared" si="28"/>
        <v>2149</v>
      </c>
      <c r="S62" s="9">
        <v>0</v>
      </c>
      <c r="T62" s="10">
        <v>208.93</v>
      </c>
      <c r="U62" s="9">
        <v>0</v>
      </c>
      <c r="V62" s="9">
        <f t="shared" ref="V62" si="30">U62*1.12</f>
        <v>0</v>
      </c>
      <c r="W62" s="7" t="s">
        <v>49</v>
      </c>
      <c r="X62" s="91" t="s">
        <v>33</v>
      </c>
      <c r="Y62" s="15" t="s">
        <v>253</v>
      </c>
      <c r="AA62" s="136"/>
    </row>
    <row r="63" spans="1:27" s="92" customFormat="1" ht="89.25" outlineLevel="1" x14ac:dyDescent="0.3">
      <c r="A63" s="15" t="s">
        <v>95</v>
      </c>
      <c r="B63" s="14" t="s">
        <v>26</v>
      </c>
      <c r="C63" s="1" t="s">
        <v>91</v>
      </c>
      <c r="D63" s="1" t="s">
        <v>92</v>
      </c>
      <c r="E63" s="2" t="s">
        <v>93</v>
      </c>
      <c r="F63" s="3" t="s">
        <v>96</v>
      </c>
      <c r="G63" s="15" t="s">
        <v>43</v>
      </c>
      <c r="H63" s="4">
        <v>0.5</v>
      </c>
      <c r="I63" s="2" t="s">
        <v>44</v>
      </c>
      <c r="J63" s="1" t="s">
        <v>45</v>
      </c>
      <c r="K63" s="7" t="s">
        <v>46</v>
      </c>
      <c r="L63" s="7" t="s">
        <v>47</v>
      </c>
      <c r="M63" s="8" t="s">
        <v>76</v>
      </c>
      <c r="N63" s="90">
        <v>0</v>
      </c>
      <c r="O63" s="9">
        <f t="shared" ref="O63:R65" si="31">1056+118</f>
        <v>1174</v>
      </c>
      <c r="P63" s="9">
        <f t="shared" si="31"/>
        <v>1174</v>
      </c>
      <c r="Q63" s="9">
        <f t="shared" si="31"/>
        <v>1174</v>
      </c>
      <c r="R63" s="9">
        <f t="shared" si="31"/>
        <v>1174</v>
      </c>
      <c r="S63" s="9">
        <v>0</v>
      </c>
      <c r="T63" s="10">
        <v>831.25</v>
      </c>
      <c r="U63" s="9">
        <v>0</v>
      </c>
      <c r="V63" s="9">
        <f t="shared" si="2"/>
        <v>0</v>
      </c>
      <c r="W63" s="7" t="s">
        <v>49</v>
      </c>
      <c r="X63" s="91" t="s">
        <v>33</v>
      </c>
      <c r="Y63" s="15">
        <v>9</v>
      </c>
      <c r="AA63" s="136"/>
    </row>
    <row r="64" spans="1:27" s="92" customFormat="1" ht="89.25" outlineLevel="1" x14ac:dyDescent="0.3">
      <c r="A64" s="15" t="s">
        <v>241</v>
      </c>
      <c r="B64" s="14" t="s">
        <v>26</v>
      </c>
      <c r="C64" s="1" t="s">
        <v>91</v>
      </c>
      <c r="D64" s="1" t="s">
        <v>92</v>
      </c>
      <c r="E64" s="2" t="s">
        <v>93</v>
      </c>
      <c r="F64" s="3" t="s">
        <v>96</v>
      </c>
      <c r="G64" s="15" t="s">
        <v>43</v>
      </c>
      <c r="H64" s="4">
        <v>0.5</v>
      </c>
      <c r="I64" s="2" t="s">
        <v>229</v>
      </c>
      <c r="J64" s="1" t="s">
        <v>45</v>
      </c>
      <c r="K64" s="7" t="s">
        <v>46</v>
      </c>
      <c r="L64" s="7" t="s">
        <v>47</v>
      </c>
      <c r="M64" s="8" t="s">
        <v>76</v>
      </c>
      <c r="N64" s="90">
        <v>0</v>
      </c>
      <c r="O64" s="9">
        <f t="shared" si="31"/>
        <v>1174</v>
      </c>
      <c r="P64" s="9">
        <f t="shared" si="31"/>
        <v>1174</v>
      </c>
      <c r="Q64" s="9">
        <f t="shared" si="31"/>
        <v>1174</v>
      </c>
      <c r="R64" s="9">
        <f t="shared" si="31"/>
        <v>1174</v>
      </c>
      <c r="S64" s="9">
        <v>0</v>
      </c>
      <c r="T64" s="10">
        <v>831.25</v>
      </c>
      <c r="U64" s="9">
        <v>0</v>
      </c>
      <c r="V64" s="9">
        <f t="shared" ref="V64" si="32">U64*1.12</f>
        <v>0</v>
      </c>
      <c r="W64" s="7" t="s">
        <v>49</v>
      </c>
      <c r="X64" s="91" t="s">
        <v>33</v>
      </c>
      <c r="Y64" s="15">
        <v>7.9</v>
      </c>
      <c r="AA64" s="136"/>
    </row>
    <row r="65" spans="1:27" s="92" customFormat="1" ht="89.25" outlineLevel="1" x14ac:dyDescent="0.3">
      <c r="A65" s="15" t="s">
        <v>292</v>
      </c>
      <c r="B65" s="14" t="s">
        <v>26</v>
      </c>
      <c r="C65" s="1" t="s">
        <v>91</v>
      </c>
      <c r="D65" s="1" t="s">
        <v>92</v>
      </c>
      <c r="E65" s="2" t="s">
        <v>93</v>
      </c>
      <c r="F65" s="3" t="s">
        <v>96</v>
      </c>
      <c r="G65" s="15" t="s">
        <v>282</v>
      </c>
      <c r="H65" s="4">
        <v>0.5</v>
      </c>
      <c r="I65" s="2" t="s">
        <v>325</v>
      </c>
      <c r="J65" s="1" t="s">
        <v>45</v>
      </c>
      <c r="K65" s="7" t="s">
        <v>46</v>
      </c>
      <c r="L65" s="7" t="s">
        <v>47</v>
      </c>
      <c r="M65" s="8" t="s">
        <v>76</v>
      </c>
      <c r="N65" s="90">
        <v>0</v>
      </c>
      <c r="O65" s="9">
        <f t="shared" si="31"/>
        <v>1174</v>
      </c>
      <c r="P65" s="9">
        <f t="shared" si="31"/>
        <v>1174</v>
      </c>
      <c r="Q65" s="9">
        <f t="shared" si="31"/>
        <v>1174</v>
      </c>
      <c r="R65" s="9">
        <f t="shared" si="31"/>
        <v>1174</v>
      </c>
      <c r="S65" s="9">
        <v>0</v>
      </c>
      <c r="T65" s="10">
        <v>831.25</v>
      </c>
      <c r="U65" s="9">
        <v>0</v>
      </c>
      <c r="V65" s="9">
        <f t="shared" ref="V65" si="33">U65*1.12</f>
        <v>0</v>
      </c>
      <c r="W65" s="7" t="s">
        <v>49</v>
      </c>
      <c r="X65" s="91" t="s">
        <v>33</v>
      </c>
      <c r="Y65" s="15" t="s">
        <v>253</v>
      </c>
      <c r="AA65" s="136"/>
    </row>
    <row r="66" spans="1:27" s="92" customFormat="1" ht="165.75" outlineLevel="1" x14ac:dyDescent="0.3">
      <c r="A66" s="15" t="s">
        <v>97</v>
      </c>
      <c r="B66" s="14" t="s">
        <v>26</v>
      </c>
      <c r="C66" s="1" t="s">
        <v>98</v>
      </c>
      <c r="D66" s="1" t="s">
        <v>99</v>
      </c>
      <c r="E66" s="2" t="s">
        <v>100</v>
      </c>
      <c r="F66" s="3" t="s">
        <v>101</v>
      </c>
      <c r="G66" s="15" t="s">
        <v>43</v>
      </c>
      <c r="H66" s="4">
        <v>0.5</v>
      </c>
      <c r="I66" s="2" t="s">
        <v>44</v>
      </c>
      <c r="J66" s="1" t="s">
        <v>45</v>
      </c>
      <c r="K66" s="7" t="s">
        <v>46</v>
      </c>
      <c r="L66" s="7" t="s">
        <v>47</v>
      </c>
      <c r="M66" s="8" t="s">
        <v>53</v>
      </c>
      <c r="N66" s="90">
        <v>0</v>
      </c>
      <c r="O66" s="9">
        <f t="shared" ref="O66:R68" si="34">840+720+72+12</f>
        <v>1644</v>
      </c>
      <c r="P66" s="9">
        <f t="shared" si="34"/>
        <v>1644</v>
      </c>
      <c r="Q66" s="9">
        <f t="shared" si="34"/>
        <v>1644</v>
      </c>
      <c r="R66" s="9">
        <f t="shared" si="34"/>
        <v>1644</v>
      </c>
      <c r="S66" s="9">
        <v>0</v>
      </c>
      <c r="T66" s="10">
        <v>341.96</v>
      </c>
      <c r="U66" s="9">
        <v>0</v>
      </c>
      <c r="V66" s="9">
        <f t="shared" si="2"/>
        <v>0</v>
      </c>
      <c r="W66" s="7" t="s">
        <v>49</v>
      </c>
      <c r="X66" s="91" t="s">
        <v>33</v>
      </c>
      <c r="Y66" s="15" t="s">
        <v>231</v>
      </c>
      <c r="AA66" s="136"/>
    </row>
    <row r="67" spans="1:27" s="92" customFormat="1" ht="165.75" outlineLevel="1" x14ac:dyDescent="0.3">
      <c r="A67" s="15" t="s">
        <v>242</v>
      </c>
      <c r="B67" s="14" t="s">
        <v>26</v>
      </c>
      <c r="C67" s="1" t="s">
        <v>98</v>
      </c>
      <c r="D67" s="1" t="s">
        <v>99</v>
      </c>
      <c r="E67" s="2" t="s">
        <v>100</v>
      </c>
      <c r="F67" s="3" t="s">
        <v>101</v>
      </c>
      <c r="G67" s="15" t="s">
        <v>43</v>
      </c>
      <c r="H67" s="4">
        <v>0.5</v>
      </c>
      <c r="I67" s="2" t="s">
        <v>229</v>
      </c>
      <c r="J67" s="1" t="s">
        <v>45</v>
      </c>
      <c r="K67" s="7" t="s">
        <v>46</v>
      </c>
      <c r="L67" s="7" t="s">
        <v>47</v>
      </c>
      <c r="M67" s="8" t="s">
        <v>53</v>
      </c>
      <c r="N67" s="90">
        <v>0</v>
      </c>
      <c r="O67" s="9">
        <f t="shared" si="34"/>
        <v>1644</v>
      </c>
      <c r="P67" s="9">
        <f t="shared" si="34"/>
        <v>1644</v>
      </c>
      <c r="Q67" s="9">
        <f t="shared" si="34"/>
        <v>1644</v>
      </c>
      <c r="R67" s="9">
        <f t="shared" si="34"/>
        <v>1644</v>
      </c>
      <c r="S67" s="9">
        <v>0</v>
      </c>
      <c r="T67" s="10">
        <v>241.73</v>
      </c>
      <c r="U67" s="9">
        <v>0</v>
      </c>
      <c r="V67" s="9">
        <f t="shared" ref="V67" si="35">U67*1.12</f>
        <v>0</v>
      </c>
      <c r="W67" s="7" t="s">
        <v>49</v>
      </c>
      <c r="X67" s="91" t="s">
        <v>33</v>
      </c>
      <c r="Y67" s="15" t="s">
        <v>283</v>
      </c>
      <c r="AA67" s="136"/>
    </row>
    <row r="68" spans="1:27" s="92" customFormat="1" ht="165.75" outlineLevel="1" x14ac:dyDescent="0.3">
      <c r="A68" s="15" t="s">
        <v>315</v>
      </c>
      <c r="B68" s="14" t="s">
        <v>26</v>
      </c>
      <c r="C68" s="1" t="s">
        <v>98</v>
      </c>
      <c r="D68" s="1" t="s">
        <v>99</v>
      </c>
      <c r="E68" s="2" t="s">
        <v>100</v>
      </c>
      <c r="F68" s="3" t="s">
        <v>101</v>
      </c>
      <c r="G68" s="15" t="s">
        <v>282</v>
      </c>
      <c r="H68" s="4">
        <v>0.5</v>
      </c>
      <c r="I68" s="2" t="s">
        <v>325</v>
      </c>
      <c r="J68" s="1" t="s">
        <v>45</v>
      </c>
      <c r="K68" s="7" t="s">
        <v>46</v>
      </c>
      <c r="L68" s="7" t="s">
        <v>47</v>
      </c>
      <c r="M68" s="8" t="s">
        <v>53</v>
      </c>
      <c r="N68" s="90">
        <v>0</v>
      </c>
      <c r="O68" s="9">
        <f>840+720+72+12-822</f>
        <v>822</v>
      </c>
      <c r="P68" s="9">
        <f t="shared" si="34"/>
        <v>1644</v>
      </c>
      <c r="Q68" s="9">
        <f t="shared" si="34"/>
        <v>1644</v>
      </c>
      <c r="R68" s="9">
        <f t="shared" si="34"/>
        <v>1644</v>
      </c>
      <c r="S68" s="9">
        <v>0</v>
      </c>
      <c r="T68" s="10">
        <v>241.73</v>
      </c>
      <c r="U68" s="9">
        <v>0</v>
      </c>
      <c r="V68" s="9">
        <f t="shared" ref="V68" si="36">U68*1.12</f>
        <v>0</v>
      </c>
      <c r="W68" s="7" t="s">
        <v>49</v>
      </c>
      <c r="X68" s="91" t="s">
        <v>33</v>
      </c>
      <c r="Y68" s="15" t="s">
        <v>253</v>
      </c>
      <c r="AA68" s="136"/>
    </row>
    <row r="69" spans="1:27" s="92" customFormat="1" ht="89.25" outlineLevel="1" x14ac:dyDescent="0.3">
      <c r="A69" s="15" t="s">
        <v>102</v>
      </c>
      <c r="B69" s="14" t="s">
        <v>26</v>
      </c>
      <c r="C69" s="3" t="s">
        <v>103</v>
      </c>
      <c r="D69" s="3" t="s">
        <v>104</v>
      </c>
      <c r="E69" s="3" t="s">
        <v>105</v>
      </c>
      <c r="F69" s="3" t="s">
        <v>106</v>
      </c>
      <c r="G69" s="15" t="s">
        <v>43</v>
      </c>
      <c r="H69" s="4">
        <v>0.5</v>
      </c>
      <c r="I69" s="2" t="s">
        <v>44</v>
      </c>
      <c r="J69" s="1" t="s">
        <v>45</v>
      </c>
      <c r="K69" s="7" t="s">
        <v>46</v>
      </c>
      <c r="L69" s="7" t="s">
        <v>47</v>
      </c>
      <c r="M69" s="8" t="s">
        <v>107</v>
      </c>
      <c r="N69" s="90">
        <v>0</v>
      </c>
      <c r="O69" s="9">
        <f t="shared" ref="O69:R72" si="37">8976+85000+600+2772+1140+1320-4600</f>
        <v>95208</v>
      </c>
      <c r="P69" s="9">
        <f t="shared" si="37"/>
        <v>95208</v>
      </c>
      <c r="Q69" s="9">
        <f t="shared" si="37"/>
        <v>95208</v>
      </c>
      <c r="R69" s="9">
        <f t="shared" si="37"/>
        <v>95208</v>
      </c>
      <c r="S69" s="9">
        <v>0</v>
      </c>
      <c r="T69" s="10">
        <v>62.5</v>
      </c>
      <c r="U69" s="9">
        <v>0</v>
      </c>
      <c r="V69" s="9">
        <f t="shared" si="2"/>
        <v>0</v>
      </c>
      <c r="W69" s="7" t="s">
        <v>49</v>
      </c>
      <c r="X69" s="91" t="s">
        <v>33</v>
      </c>
      <c r="Y69" s="15">
        <v>9</v>
      </c>
      <c r="AA69" s="136"/>
    </row>
    <row r="70" spans="1:27" s="92" customFormat="1" ht="89.25" outlineLevel="1" x14ac:dyDescent="0.3">
      <c r="A70" s="15" t="s">
        <v>243</v>
      </c>
      <c r="B70" s="14" t="s">
        <v>26</v>
      </c>
      <c r="C70" s="3" t="s">
        <v>103</v>
      </c>
      <c r="D70" s="3" t="s">
        <v>104</v>
      </c>
      <c r="E70" s="3" t="s">
        <v>105</v>
      </c>
      <c r="F70" s="3" t="s">
        <v>106</v>
      </c>
      <c r="G70" s="15" t="s">
        <v>43</v>
      </c>
      <c r="H70" s="4">
        <v>0.5</v>
      </c>
      <c r="I70" s="2" t="s">
        <v>229</v>
      </c>
      <c r="J70" s="1" t="s">
        <v>45</v>
      </c>
      <c r="K70" s="7" t="s">
        <v>46</v>
      </c>
      <c r="L70" s="7" t="s">
        <v>47</v>
      </c>
      <c r="M70" s="8" t="s">
        <v>107</v>
      </c>
      <c r="N70" s="90">
        <v>0</v>
      </c>
      <c r="O70" s="9">
        <f t="shared" si="37"/>
        <v>95208</v>
      </c>
      <c r="P70" s="9">
        <f t="shared" si="37"/>
        <v>95208</v>
      </c>
      <c r="Q70" s="9">
        <f t="shared" si="37"/>
        <v>95208</v>
      </c>
      <c r="R70" s="9">
        <f t="shared" si="37"/>
        <v>95208</v>
      </c>
      <c r="S70" s="9">
        <v>0</v>
      </c>
      <c r="T70" s="10">
        <v>62.5</v>
      </c>
      <c r="U70" s="9">
        <v>0</v>
      </c>
      <c r="V70" s="9">
        <f t="shared" ref="V70" si="38">U70*1.12</f>
        <v>0</v>
      </c>
      <c r="W70" s="7" t="s">
        <v>49</v>
      </c>
      <c r="X70" s="91" t="s">
        <v>33</v>
      </c>
      <c r="Y70" s="15" t="s">
        <v>283</v>
      </c>
      <c r="AA70" s="136"/>
    </row>
    <row r="71" spans="1:27" s="22" customFormat="1" ht="89.25" outlineLevel="1" x14ac:dyDescent="0.3">
      <c r="A71" s="59" t="s">
        <v>293</v>
      </c>
      <c r="B71" s="109" t="s">
        <v>26</v>
      </c>
      <c r="C71" s="110" t="s">
        <v>103</v>
      </c>
      <c r="D71" s="110" t="s">
        <v>104</v>
      </c>
      <c r="E71" s="110" t="s">
        <v>105</v>
      </c>
      <c r="F71" s="110" t="s">
        <v>106</v>
      </c>
      <c r="G71" s="59" t="s">
        <v>282</v>
      </c>
      <c r="H71" s="111">
        <v>0.5</v>
      </c>
      <c r="I71" s="5" t="s">
        <v>325</v>
      </c>
      <c r="J71" s="112" t="s">
        <v>45</v>
      </c>
      <c r="K71" s="6" t="s">
        <v>46</v>
      </c>
      <c r="L71" s="6" t="s">
        <v>47</v>
      </c>
      <c r="M71" s="58" t="s">
        <v>107</v>
      </c>
      <c r="N71" s="21">
        <v>0</v>
      </c>
      <c r="O71" s="11">
        <f>95208-47604</f>
        <v>47604</v>
      </c>
      <c r="P71" s="11">
        <f t="shared" si="37"/>
        <v>95208</v>
      </c>
      <c r="Q71" s="11">
        <f t="shared" si="37"/>
        <v>95208</v>
      </c>
      <c r="R71" s="11">
        <f t="shared" si="37"/>
        <v>95208</v>
      </c>
      <c r="S71" s="9">
        <v>0</v>
      </c>
      <c r="T71" s="113">
        <v>62.5</v>
      </c>
      <c r="U71" s="11">
        <v>0</v>
      </c>
      <c r="V71" s="11">
        <f t="shared" ref="V71" si="39">U71*1.12</f>
        <v>0</v>
      </c>
      <c r="W71" s="6" t="s">
        <v>49</v>
      </c>
      <c r="X71" s="12" t="s">
        <v>33</v>
      </c>
      <c r="Y71" s="59" t="s">
        <v>455</v>
      </c>
      <c r="AA71" s="136"/>
    </row>
    <row r="72" spans="1:27" s="22" customFormat="1" ht="89.25" outlineLevel="1" x14ac:dyDescent="0.2">
      <c r="A72" s="59" t="s">
        <v>454</v>
      </c>
      <c r="B72" s="109" t="s">
        <v>26</v>
      </c>
      <c r="C72" s="110" t="s">
        <v>103</v>
      </c>
      <c r="D72" s="110" t="s">
        <v>104</v>
      </c>
      <c r="E72" s="110" t="s">
        <v>105</v>
      </c>
      <c r="F72" s="110" t="s">
        <v>106</v>
      </c>
      <c r="G72" s="59" t="s">
        <v>282</v>
      </c>
      <c r="H72" s="111">
        <v>0.5</v>
      </c>
      <c r="I72" s="5" t="s">
        <v>325</v>
      </c>
      <c r="J72" s="112" t="s">
        <v>45</v>
      </c>
      <c r="K72" s="6" t="s">
        <v>46</v>
      </c>
      <c r="L72" s="6" t="s">
        <v>47</v>
      </c>
      <c r="M72" s="58" t="s">
        <v>107</v>
      </c>
      <c r="N72" s="126">
        <v>0</v>
      </c>
      <c r="O72" s="127">
        <f>95208-47604</f>
        <v>47604</v>
      </c>
      <c r="P72" s="127">
        <f t="shared" si="37"/>
        <v>95208</v>
      </c>
      <c r="Q72" s="127">
        <f t="shared" si="37"/>
        <v>95208</v>
      </c>
      <c r="R72" s="127">
        <f t="shared" si="37"/>
        <v>95208</v>
      </c>
      <c r="S72" s="9">
        <v>0</v>
      </c>
      <c r="T72" s="127">
        <v>71.180000000000007</v>
      </c>
      <c r="U72" s="127">
        <f>(N72+O72+P72+Q72+R72+S72)*T72</f>
        <v>23719169.040000003</v>
      </c>
      <c r="V72" s="127">
        <f t="shared" ref="V72" si="40">U72*1.12</f>
        <v>26565469.324800007</v>
      </c>
      <c r="W72" s="6" t="s">
        <v>49</v>
      </c>
      <c r="X72" s="12" t="s">
        <v>33</v>
      </c>
      <c r="Y72" s="13"/>
      <c r="AA72" s="136"/>
    </row>
    <row r="73" spans="1:27" s="92" customFormat="1" ht="89.25" outlineLevel="1" x14ac:dyDescent="0.3">
      <c r="A73" s="15" t="s">
        <v>108</v>
      </c>
      <c r="B73" s="14" t="s">
        <v>26</v>
      </c>
      <c r="C73" s="1" t="s">
        <v>109</v>
      </c>
      <c r="D73" s="1" t="s">
        <v>104</v>
      </c>
      <c r="E73" s="2" t="s">
        <v>110</v>
      </c>
      <c r="F73" s="3" t="s">
        <v>111</v>
      </c>
      <c r="G73" s="15" t="s">
        <v>43</v>
      </c>
      <c r="H73" s="4">
        <v>0.5</v>
      </c>
      <c r="I73" s="2" t="s">
        <v>44</v>
      </c>
      <c r="J73" s="1" t="s">
        <v>45</v>
      </c>
      <c r="K73" s="7" t="s">
        <v>46</v>
      </c>
      <c r="L73" s="7" t="s">
        <v>47</v>
      </c>
      <c r="M73" s="8" t="s">
        <v>107</v>
      </c>
      <c r="N73" s="90">
        <v>0</v>
      </c>
      <c r="O73" s="9">
        <f t="shared" ref="O73:R76" si="41">12816+2300</f>
        <v>15116</v>
      </c>
      <c r="P73" s="9">
        <f t="shared" si="41"/>
        <v>15116</v>
      </c>
      <c r="Q73" s="9">
        <f t="shared" si="41"/>
        <v>15116</v>
      </c>
      <c r="R73" s="9">
        <f t="shared" si="41"/>
        <v>15116</v>
      </c>
      <c r="S73" s="9">
        <v>0</v>
      </c>
      <c r="T73" s="10">
        <v>504.46</v>
      </c>
      <c r="U73" s="9">
        <v>0</v>
      </c>
      <c r="V73" s="9">
        <f t="shared" si="2"/>
        <v>0</v>
      </c>
      <c r="W73" s="7" t="s">
        <v>49</v>
      </c>
      <c r="X73" s="91" t="s">
        <v>33</v>
      </c>
      <c r="Y73" s="15" t="s">
        <v>231</v>
      </c>
      <c r="AA73" s="136"/>
    </row>
    <row r="74" spans="1:27" s="92" customFormat="1" ht="89.25" outlineLevel="1" x14ac:dyDescent="0.3">
      <c r="A74" s="15" t="s">
        <v>244</v>
      </c>
      <c r="B74" s="14" t="s">
        <v>26</v>
      </c>
      <c r="C74" s="1" t="s">
        <v>109</v>
      </c>
      <c r="D74" s="1" t="s">
        <v>104</v>
      </c>
      <c r="E74" s="2" t="s">
        <v>110</v>
      </c>
      <c r="F74" s="3" t="s">
        <v>111</v>
      </c>
      <c r="G74" s="15" t="s">
        <v>43</v>
      </c>
      <c r="H74" s="4">
        <v>0.5</v>
      </c>
      <c r="I74" s="2" t="s">
        <v>229</v>
      </c>
      <c r="J74" s="1" t="s">
        <v>45</v>
      </c>
      <c r="K74" s="7" t="s">
        <v>46</v>
      </c>
      <c r="L74" s="7" t="s">
        <v>47</v>
      </c>
      <c r="M74" s="8" t="s">
        <v>107</v>
      </c>
      <c r="N74" s="90">
        <v>0</v>
      </c>
      <c r="O74" s="9">
        <f t="shared" si="41"/>
        <v>15116</v>
      </c>
      <c r="P74" s="9">
        <f t="shared" si="41"/>
        <v>15116</v>
      </c>
      <c r="Q74" s="9">
        <f t="shared" si="41"/>
        <v>15116</v>
      </c>
      <c r="R74" s="9">
        <f t="shared" si="41"/>
        <v>15116</v>
      </c>
      <c r="S74" s="9">
        <v>0</v>
      </c>
      <c r="T74" s="10">
        <v>500</v>
      </c>
      <c r="U74" s="9">
        <v>0</v>
      </c>
      <c r="V74" s="9">
        <f t="shared" ref="V74" si="42">U74*1.12</f>
        <v>0</v>
      </c>
      <c r="W74" s="7" t="s">
        <v>49</v>
      </c>
      <c r="X74" s="91" t="s">
        <v>33</v>
      </c>
      <c r="Y74" s="15" t="s">
        <v>283</v>
      </c>
      <c r="AA74" s="136"/>
    </row>
    <row r="75" spans="1:27" s="22" customFormat="1" ht="89.25" outlineLevel="1" x14ac:dyDescent="0.3">
      <c r="A75" s="59" t="s">
        <v>294</v>
      </c>
      <c r="B75" s="109" t="s">
        <v>26</v>
      </c>
      <c r="C75" s="112" t="s">
        <v>109</v>
      </c>
      <c r="D75" s="112" t="s">
        <v>104</v>
      </c>
      <c r="E75" s="5" t="s">
        <v>110</v>
      </c>
      <c r="F75" s="110" t="s">
        <v>111</v>
      </c>
      <c r="G75" s="59" t="s">
        <v>282</v>
      </c>
      <c r="H75" s="111">
        <v>0.5</v>
      </c>
      <c r="I75" s="5" t="s">
        <v>325</v>
      </c>
      <c r="J75" s="112" t="s">
        <v>45</v>
      </c>
      <c r="K75" s="6" t="s">
        <v>46</v>
      </c>
      <c r="L75" s="6" t="s">
        <v>47</v>
      </c>
      <c r="M75" s="58" t="s">
        <v>107</v>
      </c>
      <c r="N75" s="21">
        <v>0</v>
      </c>
      <c r="O75" s="11">
        <f>15116-7558</f>
        <v>7558</v>
      </c>
      <c r="P75" s="11">
        <f t="shared" si="41"/>
        <v>15116</v>
      </c>
      <c r="Q75" s="11">
        <f t="shared" si="41"/>
        <v>15116</v>
      </c>
      <c r="R75" s="11">
        <f t="shared" si="41"/>
        <v>15116</v>
      </c>
      <c r="S75" s="9">
        <v>0</v>
      </c>
      <c r="T75" s="113">
        <v>500</v>
      </c>
      <c r="U75" s="11">
        <v>0</v>
      </c>
      <c r="V75" s="11">
        <f t="shared" ref="V75" si="43">U75*1.12</f>
        <v>0</v>
      </c>
      <c r="W75" s="6" t="s">
        <v>49</v>
      </c>
      <c r="X75" s="12" t="s">
        <v>33</v>
      </c>
      <c r="Y75" s="59" t="s">
        <v>455</v>
      </c>
      <c r="AA75" s="136"/>
    </row>
    <row r="76" spans="1:27" s="22" customFormat="1" ht="89.25" outlineLevel="1" x14ac:dyDescent="0.2">
      <c r="A76" s="59" t="s">
        <v>456</v>
      </c>
      <c r="B76" s="109" t="s">
        <v>26</v>
      </c>
      <c r="C76" s="112" t="s">
        <v>109</v>
      </c>
      <c r="D76" s="112" t="s">
        <v>104</v>
      </c>
      <c r="E76" s="5" t="s">
        <v>110</v>
      </c>
      <c r="F76" s="110" t="s">
        <v>111</v>
      </c>
      <c r="G76" s="59" t="s">
        <v>282</v>
      </c>
      <c r="H76" s="111">
        <v>0.5</v>
      </c>
      <c r="I76" s="5" t="s">
        <v>325</v>
      </c>
      <c r="J76" s="112" t="s">
        <v>45</v>
      </c>
      <c r="K76" s="6" t="s">
        <v>46</v>
      </c>
      <c r="L76" s="6" t="s">
        <v>47</v>
      </c>
      <c r="M76" s="58" t="s">
        <v>107</v>
      </c>
      <c r="N76" s="126">
        <v>0</v>
      </c>
      <c r="O76" s="127">
        <f>15116-7558</f>
        <v>7558</v>
      </c>
      <c r="P76" s="127">
        <f t="shared" si="41"/>
        <v>15116</v>
      </c>
      <c r="Q76" s="127">
        <f t="shared" si="41"/>
        <v>15116</v>
      </c>
      <c r="R76" s="127">
        <f t="shared" si="41"/>
        <v>15116</v>
      </c>
      <c r="S76" s="9">
        <v>0</v>
      </c>
      <c r="T76" s="127">
        <v>535</v>
      </c>
      <c r="U76" s="127">
        <f>(N76+O76+P76+Q76+R76+S76)*T76</f>
        <v>28304710</v>
      </c>
      <c r="V76" s="127">
        <f t="shared" ref="V76" si="44">U76*1.12</f>
        <v>31701275.200000003</v>
      </c>
      <c r="W76" s="6" t="s">
        <v>49</v>
      </c>
      <c r="X76" s="12" t="s">
        <v>33</v>
      </c>
      <c r="Y76" s="13"/>
      <c r="AA76" s="136"/>
    </row>
    <row r="77" spans="1:27" s="92" customFormat="1" ht="89.25" outlineLevel="1" x14ac:dyDescent="0.3">
      <c r="A77" s="15" t="s">
        <v>112</v>
      </c>
      <c r="B77" s="14" t="s">
        <v>26</v>
      </c>
      <c r="C77" s="1" t="s">
        <v>113</v>
      </c>
      <c r="D77" s="1" t="s">
        <v>114</v>
      </c>
      <c r="E77" s="2" t="s">
        <v>115</v>
      </c>
      <c r="F77" s="3" t="s">
        <v>116</v>
      </c>
      <c r="G77" s="15" t="s">
        <v>43</v>
      </c>
      <c r="H77" s="4">
        <v>0.5</v>
      </c>
      <c r="I77" s="2" t="s">
        <v>44</v>
      </c>
      <c r="J77" s="1" t="s">
        <v>45</v>
      </c>
      <c r="K77" s="7" t="s">
        <v>46</v>
      </c>
      <c r="L77" s="7" t="s">
        <v>47</v>
      </c>
      <c r="M77" s="8" t="s">
        <v>107</v>
      </c>
      <c r="N77" s="90">
        <v>0</v>
      </c>
      <c r="O77" s="9">
        <f t="shared" ref="O77:R80" si="45">8208+2200+2500-400</f>
        <v>12508</v>
      </c>
      <c r="P77" s="9">
        <f t="shared" si="45"/>
        <v>12508</v>
      </c>
      <c r="Q77" s="9">
        <f t="shared" si="45"/>
        <v>12508</v>
      </c>
      <c r="R77" s="9">
        <f t="shared" si="45"/>
        <v>12508</v>
      </c>
      <c r="S77" s="9">
        <v>0</v>
      </c>
      <c r="T77" s="10">
        <v>1321</v>
      </c>
      <c r="U77" s="9">
        <v>0</v>
      </c>
      <c r="V77" s="9">
        <f t="shared" si="2"/>
        <v>0</v>
      </c>
      <c r="W77" s="7" t="s">
        <v>49</v>
      </c>
      <c r="X77" s="91" t="s">
        <v>33</v>
      </c>
      <c r="Y77" s="15" t="s">
        <v>231</v>
      </c>
      <c r="AA77" s="136"/>
    </row>
    <row r="78" spans="1:27" s="92" customFormat="1" ht="89.25" outlineLevel="1" x14ac:dyDescent="0.3">
      <c r="A78" s="15" t="s">
        <v>245</v>
      </c>
      <c r="B78" s="14" t="s">
        <v>26</v>
      </c>
      <c r="C78" s="1" t="s">
        <v>113</v>
      </c>
      <c r="D78" s="1" t="s">
        <v>114</v>
      </c>
      <c r="E78" s="2" t="s">
        <v>115</v>
      </c>
      <c r="F78" s="3" t="s">
        <v>116</v>
      </c>
      <c r="G78" s="15" t="s">
        <v>43</v>
      </c>
      <c r="H78" s="4">
        <v>0.5</v>
      </c>
      <c r="I78" s="2" t="s">
        <v>229</v>
      </c>
      <c r="J78" s="1" t="s">
        <v>45</v>
      </c>
      <c r="K78" s="7" t="s">
        <v>46</v>
      </c>
      <c r="L78" s="7" t="s">
        <v>47</v>
      </c>
      <c r="M78" s="8" t="s">
        <v>107</v>
      </c>
      <c r="N78" s="90">
        <v>0</v>
      </c>
      <c r="O78" s="9">
        <f t="shared" si="45"/>
        <v>12508</v>
      </c>
      <c r="P78" s="9">
        <f t="shared" si="45"/>
        <v>12508</v>
      </c>
      <c r="Q78" s="9">
        <f t="shared" si="45"/>
        <v>12508</v>
      </c>
      <c r="R78" s="9">
        <f t="shared" si="45"/>
        <v>12508</v>
      </c>
      <c r="S78" s="9">
        <v>0</v>
      </c>
      <c r="T78" s="10">
        <v>1290</v>
      </c>
      <c r="U78" s="9">
        <v>0</v>
      </c>
      <c r="V78" s="9">
        <f t="shared" ref="V78" si="46">U78*1.12</f>
        <v>0</v>
      </c>
      <c r="W78" s="7" t="s">
        <v>49</v>
      </c>
      <c r="X78" s="91" t="s">
        <v>33</v>
      </c>
      <c r="Y78" s="15" t="s">
        <v>283</v>
      </c>
      <c r="AA78" s="136"/>
    </row>
    <row r="79" spans="1:27" s="22" customFormat="1" ht="89.25" outlineLevel="1" x14ac:dyDescent="0.3">
      <c r="A79" s="59" t="s">
        <v>295</v>
      </c>
      <c r="B79" s="109" t="s">
        <v>26</v>
      </c>
      <c r="C79" s="112" t="s">
        <v>113</v>
      </c>
      <c r="D79" s="112" t="s">
        <v>114</v>
      </c>
      <c r="E79" s="5" t="s">
        <v>115</v>
      </c>
      <c r="F79" s="110" t="s">
        <v>116</v>
      </c>
      <c r="G79" s="59" t="s">
        <v>282</v>
      </c>
      <c r="H79" s="111">
        <v>0.5</v>
      </c>
      <c r="I79" s="5" t="s">
        <v>325</v>
      </c>
      <c r="J79" s="112" t="s">
        <v>45</v>
      </c>
      <c r="K79" s="6" t="s">
        <v>46</v>
      </c>
      <c r="L79" s="6" t="s">
        <v>47</v>
      </c>
      <c r="M79" s="58" t="s">
        <v>107</v>
      </c>
      <c r="N79" s="21">
        <v>0</v>
      </c>
      <c r="O79" s="11">
        <f>12508-6254</f>
        <v>6254</v>
      </c>
      <c r="P79" s="11">
        <f t="shared" si="45"/>
        <v>12508</v>
      </c>
      <c r="Q79" s="11">
        <f t="shared" si="45"/>
        <v>12508</v>
      </c>
      <c r="R79" s="11">
        <f t="shared" si="45"/>
        <v>12508</v>
      </c>
      <c r="S79" s="9">
        <v>0</v>
      </c>
      <c r="T79" s="113">
        <v>1290</v>
      </c>
      <c r="U79" s="11">
        <v>0</v>
      </c>
      <c r="V79" s="11">
        <f t="shared" ref="V79" si="47">U79*1.12</f>
        <v>0</v>
      </c>
      <c r="W79" s="6" t="s">
        <v>49</v>
      </c>
      <c r="X79" s="12" t="s">
        <v>33</v>
      </c>
      <c r="Y79" s="59" t="s">
        <v>455</v>
      </c>
      <c r="AA79" s="136"/>
    </row>
    <row r="80" spans="1:27" s="22" customFormat="1" ht="89.25" outlineLevel="1" x14ac:dyDescent="0.2">
      <c r="A80" s="59" t="s">
        <v>457</v>
      </c>
      <c r="B80" s="109" t="s">
        <v>26</v>
      </c>
      <c r="C80" s="112" t="s">
        <v>113</v>
      </c>
      <c r="D80" s="112" t="s">
        <v>114</v>
      </c>
      <c r="E80" s="5" t="s">
        <v>115</v>
      </c>
      <c r="F80" s="110" t="s">
        <v>116</v>
      </c>
      <c r="G80" s="59" t="s">
        <v>282</v>
      </c>
      <c r="H80" s="111">
        <v>0.5</v>
      </c>
      <c r="I80" s="5" t="s">
        <v>325</v>
      </c>
      <c r="J80" s="112" t="s">
        <v>45</v>
      </c>
      <c r="K80" s="6" t="s">
        <v>46</v>
      </c>
      <c r="L80" s="6" t="s">
        <v>47</v>
      </c>
      <c r="M80" s="58" t="s">
        <v>107</v>
      </c>
      <c r="N80" s="126">
        <v>0</v>
      </c>
      <c r="O80" s="127">
        <f>12508-6254</f>
        <v>6254</v>
      </c>
      <c r="P80" s="127">
        <f t="shared" si="45"/>
        <v>12508</v>
      </c>
      <c r="Q80" s="127">
        <f t="shared" si="45"/>
        <v>12508</v>
      </c>
      <c r="R80" s="127">
        <f t="shared" si="45"/>
        <v>12508</v>
      </c>
      <c r="S80" s="9">
        <v>0</v>
      </c>
      <c r="T80" s="127">
        <v>1453.5</v>
      </c>
      <c r="U80" s="127">
        <f>(N80+O80+P80+Q80+R80+S80)*T80</f>
        <v>63631323</v>
      </c>
      <c r="V80" s="127">
        <f t="shared" ref="V80" si="48">U80*1.12</f>
        <v>71267081.760000005</v>
      </c>
      <c r="W80" s="6" t="s">
        <v>49</v>
      </c>
      <c r="X80" s="12" t="s">
        <v>33</v>
      </c>
      <c r="Y80" s="13"/>
      <c r="AA80" s="136"/>
    </row>
    <row r="81" spans="1:27" s="92" customFormat="1" ht="89.25" outlineLevel="1" x14ac:dyDescent="0.3">
      <c r="A81" s="15" t="s">
        <v>117</v>
      </c>
      <c r="B81" s="14" t="s">
        <v>26</v>
      </c>
      <c r="C81" s="1" t="s">
        <v>118</v>
      </c>
      <c r="D81" s="1" t="s">
        <v>119</v>
      </c>
      <c r="E81" s="2" t="s">
        <v>120</v>
      </c>
      <c r="F81" s="3" t="s">
        <v>121</v>
      </c>
      <c r="G81" s="15" t="s">
        <v>43</v>
      </c>
      <c r="H81" s="4">
        <v>0.5</v>
      </c>
      <c r="I81" s="2" t="s">
        <v>44</v>
      </c>
      <c r="J81" s="1" t="s">
        <v>45</v>
      </c>
      <c r="K81" s="7" t="s">
        <v>46</v>
      </c>
      <c r="L81" s="7" t="s">
        <v>47</v>
      </c>
      <c r="M81" s="8" t="s">
        <v>122</v>
      </c>
      <c r="N81" s="90">
        <v>0</v>
      </c>
      <c r="O81" s="9">
        <f t="shared" ref="O81:R84" si="49">1512+500+1788</f>
        <v>3800</v>
      </c>
      <c r="P81" s="9">
        <f t="shared" si="49"/>
        <v>3800</v>
      </c>
      <c r="Q81" s="9">
        <f t="shared" si="49"/>
        <v>3800</v>
      </c>
      <c r="R81" s="9">
        <f t="shared" si="49"/>
        <v>3800</v>
      </c>
      <c r="S81" s="9">
        <v>0</v>
      </c>
      <c r="T81" s="10">
        <v>349.11</v>
      </c>
      <c r="U81" s="9">
        <v>0</v>
      </c>
      <c r="V81" s="9">
        <f t="shared" si="2"/>
        <v>0</v>
      </c>
      <c r="W81" s="7" t="s">
        <v>49</v>
      </c>
      <c r="X81" s="91" t="s">
        <v>33</v>
      </c>
      <c r="Y81" s="15">
        <v>9</v>
      </c>
      <c r="AA81" s="136"/>
    </row>
    <row r="82" spans="1:27" s="92" customFormat="1" ht="89.25" outlineLevel="1" x14ac:dyDescent="0.3">
      <c r="A82" s="15" t="s">
        <v>246</v>
      </c>
      <c r="B82" s="14" t="s">
        <v>26</v>
      </c>
      <c r="C82" s="1" t="s">
        <v>118</v>
      </c>
      <c r="D82" s="1" t="s">
        <v>119</v>
      </c>
      <c r="E82" s="2" t="s">
        <v>120</v>
      </c>
      <c r="F82" s="3" t="s">
        <v>121</v>
      </c>
      <c r="G82" s="15" t="s">
        <v>43</v>
      </c>
      <c r="H82" s="4">
        <v>0.5</v>
      </c>
      <c r="I82" s="2" t="s">
        <v>229</v>
      </c>
      <c r="J82" s="1" t="s">
        <v>45</v>
      </c>
      <c r="K82" s="7" t="s">
        <v>46</v>
      </c>
      <c r="L82" s="7" t="s">
        <v>47</v>
      </c>
      <c r="M82" s="8" t="s">
        <v>122</v>
      </c>
      <c r="N82" s="90">
        <v>0</v>
      </c>
      <c r="O82" s="9">
        <f t="shared" si="49"/>
        <v>3800</v>
      </c>
      <c r="P82" s="9">
        <f t="shared" si="49"/>
        <v>3800</v>
      </c>
      <c r="Q82" s="9">
        <f t="shared" si="49"/>
        <v>3800</v>
      </c>
      <c r="R82" s="9">
        <f t="shared" si="49"/>
        <v>3800</v>
      </c>
      <c r="S82" s="9">
        <v>0</v>
      </c>
      <c r="T82" s="10">
        <v>349.11</v>
      </c>
      <c r="U82" s="9">
        <v>0</v>
      </c>
      <c r="V82" s="9">
        <f t="shared" ref="V82" si="50">U82*1.12</f>
        <v>0</v>
      </c>
      <c r="W82" s="7" t="s">
        <v>49</v>
      </c>
      <c r="X82" s="91" t="s">
        <v>33</v>
      </c>
      <c r="Y82" s="15" t="s">
        <v>283</v>
      </c>
      <c r="AA82" s="136"/>
    </row>
    <row r="83" spans="1:27" s="22" customFormat="1" ht="89.25" outlineLevel="1" x14ac:dyDescent="0.3">
      <c r="A83" s="59" t="s">
        <v>296</v>
      </c>
      <c r="B83" s="109" t="s">
        <v>26</v>
      </c>
      <c r="C83" s="112" t="s">
        <v>118</v>
      </c>
      <c r="D83" s="112" t="s">
        <v>119</v>
      </c>
      <c r="E83" s="5" t="s">
        <v>120</v>
      </c>
      <c r="F83" s="110" t="s">
        <v>121</v>
      </c>
      <c r="G83" s="59" t="s">
        <v>282</v>
      </c>
      <c r="H83" s="111">
        <v>0.5</v>
      </c>
      <c r="I83" s="5" t="s">
        <v>325</v>
      </c>
      <c r="J83" s="112" t="s">
        <v>45</v>
      </c>
      <c r="K83" s="6" t="s">
        <v>46</v>
      </c>
      <c r="L83" s="6" t="s">
        <v>47</v>
      </c>
      <c r="M83" s="58" t="s">
        <v>122</v>
      </c>
      <c r="N83" s="21">
        <v>0</v>
      </c>
      <c r="O83" s="11">
        <f>1512+500+1788-1900</f>
        <v>1900</v>
      </c>
      <c r="P83" s="11">
        <f t="shared" si="49"/>
        <v>3800</v>
      </c>
      <c r="Q83" s="11">
        <f t="shared" si="49"/>
        <v>3800</v>
      </c>
      <c r="R83" s="11">
        <f t="shared" si="49"/>
        <v>3800</v>
      </c>
      <c r="S83" s="9">
        <v>0</v>
      </c>
      <c r="T83" s="113">
        <v>349.11</v>
      </c>
      <c r="U83" s="11">
        <v>0</v>
      </c>
      <c r="V83" s="11">
        <f t="shared" ref="V83" si="51">U83*1.12</f>
        <v>0</v>
      </c>
      <c r="W83" s="6" t="s">
        <v>49</v>
      </c>
      <c r="X83" s="12" t="s">
        <v>33</v>
      </c>
      <c r="Y83" s="59" t="s">
        <v>455</v>
      </c>
      <c r="AA83" s="136"/>
    </row>
    <row r="84" spans="1:27" s="22" customFormat="1" ht="89.25" outlineLevel="1" x14ac:dyDescent="0.2">
      <c r="A84" s="59" t="s">
        <v>458</v>
      </c>
      <c r="B84" s="109" t="s">
        <v>26</v>
      </c>
      <c r="C84" s="112" t="s">
        <v>118</v>
      </c>
      <c r="D84" s="112" t="s">
        <v>119</v>
      </c>
      <c r="E84" s="5" t="s">
        <v>120</v>
      </c>
      <c r="F84" s="110" t="s">
        <v>121</v>
      </c>
      <c r="G84" s="59" t="s">
        <v>282</v>
      </c>
      <c r="H84" s="111">
        <v>0.5</v>
      </c>
      <c r="I84" s="5" t="s">
        <v>325</v>
      </c>
      <c r="J84" s="112" t="s">
        <v>45</v>
      </c>
      <c r="K84" s="6" t="s">
        <v>46</v>
      </c>
      <c r="L84" s="6" t="s">
        <v>47</v>
      </c>
      <c r="M84" s="58" t="s">
        <v>122</v>
      </c>
      <c r="N84" s="126">
        <v>0</v>
      </c>
      <c r="O84" s="127">
        <f>1512+500+1788-1900</f>
        <v>1900</v>
      </c>
      <c r="P84" s="127">
        <f t="shared" si="49"/>
        <v>3800</v>
      </c>
      <c r="Q84" s="127">
        <f t="shared" si="49"/>
        <v>3800</v>
      </c>
      <c r="R84" s="127">
        <f t="shared" si="49"/>
        <v>3800</v>
      </c>
      <c r="S84" s="9">
        <v>0</v>
      </c>
      <c r="T84" s="127">
        <v>383</v>
      </c>
      <c r="U84" s="127">
        <f>(N84+O84+P84+Q84+R84+S84)*T84</f>
        <v>5093900</v>
      </c>
      <c r="V84" s="127">
        <f t="shared" ref="V84" si="52">U84*1.12</f>
        <v>5705168.0000000009</v>
      </c>
      <c r="W84" s="6" t="s">
        <v>49</v>
      </c>
      <c r="X84" s="12" t="s">
        <v>33</v>
      </c>
      <c r="Y84" s="13"/>
      <c r="AA84" s="136"/>
    </row>
    <row r="85" spans="1:27" s="92" customFormat="1" ht="89.25" outlineLevel="1" x14ac:dyDescent="0.3">
      <c r="A85" s="15" t="s">
        <v>123</v>
      </c>
      <c r="B85" s="14" t="s">
        <v>26</v>
      </c>
      <c r="C85" s="1" t="s">
        <v>118</v>
      </c>
      <c r="D85" s="1" t="s">
        <v>119</v>
      </c>
      <c r="E85" s="2" t="s">
        <v>120</v>
      </c>
      <c r="F85" s="3" t="s">
        <v>124</v>
      </c>
      <c r="G85" s="15" t="s">
        <v>43</v>
      </c>
      <c r="H85" s="4">
        <v>0.5</v>
      </c>
      <c r="I85" s="2" t="s">
        <v>44</v>
      </c>
      <c r="J85" s="1" t="s">
        <v>45</v>
      </c>
      <c r="K85" s="7" t="s">
        <v>46</v>
      </c>
      <c r="L85" s="7" t="s">
        <v>47</v>
      </c>
      <c r="M85" s="8" t="s">
        <v>122</v>
      </c>
      <c r="N85" s="90">
        <v>0</v>
      </c>
      <c r="O85" s="9">
        <f t="shared" ref="O85:R88" si="53">3600+3840</f>
        <v>7440</v>
      </c>
      <c r="P85" s="9">
        <f t="shared" si="53"/>
        <v>7440</v>
      </c>
      <c r="Q85" s="9">
        <f t="shared" si="53"/>
        <v>7440</v>
      </c>
      <c r="R85" s="9">
        <f t="shared" si="53"/>
        <v>7440</v>
      </c>
      <c r="S85" s="9">
        <v>0</v>
      </c>
      <c r="T85" s="10">
        <v>66.959999999999994</v>
      </c>
      <c r="U85" s="9">
        <v>0</v>
      </c>
      <c r="V85" s="9">
        <f t="shared" si="2"/>
        <v>0</v>
      </c>
      <c r="W85" s="7" t="s">
        <v>49</v>
      </c>
      <c r="X85" s="91" t="s">
        <v>33</v>
      </c>
      <c r="Y85" s="15">
        <v>9</v>
      </c>
      <c r="AA85" s="136"/>
    </row>
    <row r="86" spans="1:27" s="92" customFormat="1" ht="89.25" outlineLevel="1" x14ac:dyDescent="0.3">
      <c r="A86" s="15" t="s">
        <v>247</v>
      </c>
      <c r="B86" s="14" t="s">
        <v>26</v>
      </c>
      <c r="C86" s="1" t="s">
        <v>118</v>
      </c>
      <c r="D86" s="1" t="s">
        <v>119</v>
      </c>
      <c r="E86" s="2" t="s">
        <v>120</v>
      </c>
      <c r="F86" s="3" t="s">
        <v>124</v>
      </c>
      <c r="G86" s="15" t="s">
        <v>43</v>
      </c>
      <c r="H86" s="4">
        <v>0.5</v>
      </c>
      <c r="I86" s="2" t="s">
        <v>229</v>
      </c>
      <c r="J86" s="1" t="s">
        <v>45</v>
      </c>
      <c r="K86" s="7" t="s">
        <v>46</v>
      </c>
      <c r="L86" s="7" t="s">
        <v>47</v>
      </c>
      <c r="M86" s="8" t="s">
        <v>122</v>
      </c>
      <c r="N86" s="90">
        <v>0</v>
      </c>
      <c r="O86" s="9">
        <f t="shared" si="53"/>
        <v>7440</v>
      </c>
      <c r="P86" s="9">
        <f t="shared" si="53"/>
        <v>7440</v>
      </c>
      <c r="Q86" s="9">
        <f t="shared" si="53"/>
        <v>7440</v>
      </c>
      <c r="R86" s="9">
        <f t="shared" si="53"/>
        <v>7440</v>
      </c>
      <c r="S86" s="9">
        <v>0</v>
      </c>
      <c r="T86" s="10">
        <v>66.959999999999994</v>
      </c>
      <c r="U86" s="9">
        <v>0</v>
      </c>
      <c r="V86" s="9">
        <f t="shared" ref="V86" si="54">U86*1.12</f>
        <v>0</v>
      </c>
      <c r="W86" s="7" t="s">
        <v>49</v>
      </c>
      <c r="X86" s="91" t="s">
        <v>33</v>
      </c>
      <c r="Y86" s="15" t="s">
        <v>283</v>
      </c>
      <c r="AA86" s="136"/>
    </row>
    <row r="87" spans="1:27" s="22" customFormat="1" ht="89.25" outlineLevel="1" x14ac:dyDescent="0.3">
      <c r="A87" s="59" t="s">
        <v>297</v>
      </c>
      <c r="B87" s="109" t="s">
        <v>26</v>
      </c>
      <c r="C87" s="112" t="s">
        <v>118</v>
      </c>
      <c r="D87" s="112" t="s">
        <v>119</v>
      </c>
      <c r="E87" s="5" t="s">
        <v>120</v>
      </c>
      <c r="F87" s="110" t="s">
        <v>124</v>
      </c>
      <c r="G87" s="59" t="s">
        <v>282</v>
      </c>
      <c r="H87" s="111">
        <v>0.5</v>
      </c>
      <c r="I87" s="5" t="s">
        <v>325</v>
      </c>
      <c r="J87" s="112" t="s">
        <v>45</v>
      </c>
      <c r="K87" s="6" t="s">
        <v>46</v>
      </c>
      <c r="L87" s="6" t="s">
        <v>47</v>
      </c>
      <c r="M87" s="58" t="s">
        <v>122</v>
      </c>
      <c r="N87" s="21">
        <v>0</v>
      </c>
      <c r="O87" s="11">
        <f>3600+3840-3720</f>
        <v>3720</v>
      </c>
      <c r="P87" s="11">
        <f t="shared" si="53"/>
        <v>7440</v>
      </c>
      <c r="Q87" s="11">
        <f t="shared" si="53"/>
        <v>7440</v>
      </c>
      <c r="R87" s="11">
        <f t="shared" si="53"/>
        <v>7440</v>
      </c>
      <c r="S87" s="9">
        <v>0</v>
      </c>
      <c r="T87" s="113">
        <v>66.959999999999994</v>
      </c>
      <c r="U87" s="11">
        <v>0</v>
      </c>
      <c r="V87" s="11">
        <f t="shared" ref="V87" si="55">U87*1.12</f>
        <v>0</v>
      </c>
      <c r="W87" s="6" t="s">
        <v>49</v>
      </c>
      <c r="X87" s="12" t="s">
        <v>33</v>
      </c>
      <c r="Y87" s="59" t="s">
        <v>455</v>
      </c>
      <c r="AA87" s="136"/>
    </row>
    <row r="88" spans="1:27" s="22" customFormat="1" ht="89.25" outlineLevel="1" x14ac:dyDescent="0.2">
      <c r="A88" s="59" t="s">
        <v>459</v>
      </c>
      <c r="B88" s="109" t="s">
        <v>26</v>
      </c>
      <c r="C88" s="112" t="s">
        <v>118</v>
      </c>
      <c r="D88" s="112" t="s">
        <v>119</v>
      </c>
      <c r="E88" s="5" t="s">
        <v>120</v>
      </c>
      <c r="F88" s="110" t="s">
        <v>124</v>
      </c>
      <c r="G88" s="59" t="s">
        <v>282</v>
      </c>
      <c r="H88" s="111">
        <v>0.5</v>
      </c>
      <c r="I88" s="5" t="s">
        <v>325</v>
      </c>
      <c r="J88" s="112" t="s">
        <v>45</v>
      </c>
      <c r="K88" s="6" t="s">
        <v>46</v>
      </c>
      <c r="L88" s="6" t="s">
        <v>47</v>
      </c>
      <c r="M88" s="58" t="s">
        <v>122</v>
      </c>
      <c r="N88" s="126">
        <v>0</v>
      </c>
      <c r="O88" s="127">
        <f>3600+3840-3720</f>
        <v>3720</v>
      </c>
      <c r="P88" s="127">
        <f t="shared" si="53"/>
        <v>7440</v>
      </c>
      <c r="Q88" s="127">
        <f t="shared" si="53"/>
        <v>7440</v>
      </c>
      <c r="R88" s="127">
        <f t="shared" si="53"/>
        <v>7440</v>
      </c>
      <c r="S88" s="9">
        <v>0</v>
      </c>
      <c r="T88" s="127">
        <v>71.8</v>
      </c>
      <c r="U88" s="127">
        <f>(N88+O88+P88+Q88+R88+S88)*T88</f>
        <v>1869672</v>
      </c>
      <c r="V88" s="127">
        <f t="shared" ref="V88" si="56">U88*1.12</f>
        <v>2094032.6400000001</v>
      </c>
      <c r="W88" s="6" t="s">
        <v>49</v>
      </c>
      <c r="X88" s="12" t="s">
        <v>33</v>
      </c>
      <c r="Y88" s="13"/>
      <c r="AA88" s="136"/>
    </row>
    <row r="89" spans="1:27" s="92" customFormat="1" ht="89.25" outlineLevel="1" x14ac:dyDescent="0.3">
      <c r="A89" s="15" t="s">
        <v>125</v>
      </c>
      <c r="B89" s="14" t="s">
        <v>26</v>
      </c>
      <c r="C89" s="1" t="s">
        <v>118</v>
      </c>
      <c r="D89" s="1" t="s">
        <v>119</v>
      </c>
      <c r="E89" s="2" t="s">
        <v>120</v>
      </c>
      <c r="F89" s="3" t="s">
        <v>126</v>
      </c>
      <c r="G89" s="15" t="s">
        <v>43</v>
      </c>
      <c r="H89" s="4">
        <v>0.5</v>
      </c>
      <c r="I89" s="2" t="s">
        <v>44</v>
      </c>
      <c r="J89" s="1" t="s">
        <v>45</v>
      </c>
      <c r="K89" s="7" t="s">
        <v>46</v>
      </c>
      <c r="L89" s="7" t="s">
        <v>47</v>
      </c>
      <c r="M89" s="8" t="s">
        <v>122</v>
      </c>
      <c r="N89" s="90">
        <v>0</v>
      </c>
      <c r="O89" s="9">
        <f t="shared" ref="O89:R92" si="57">4760+600+100</f>
        <v>5460</v>
      </c>
      <c r="P89" s="9">
        <f t="shared" si="57"/>
        <v>5460</v>
      </c>
      <c r="Q89" s="9">
        <f t="shared" si="57"/>
        <v>5460</v>
      </c>
      <c r="R89" s="9">
        <f t="shared" si="57"/>
        <v>5460</v>
      </c>
      <c r="S89" s="9">
        <v>0</v>
      </c>
      <c r="T89" s="10">
        <v>329.46</v>
      </c>
      <c r="U89" s="9">
        <v>0</v>
      </c>
      <c r="V89" s="9">
        <f t="shared" si="2"/>
        <v>0</v>
      </c>
      <c r="W89" s="7" t="s">
        <v>49</v>
      </c>
      <c r="X89" s="91" t="s">
        <v>33</v>
      </c>
      <c r="Y89" s="15" t="s">
        <v>231</v>
      </c>
      <c r="AA89" s="136"/>
    </row>
    <row r="90" spans="1:27" s="92" customFormat="1" ht="89.25" outlineLevel="1" x14ac:dyDescent="0.3">
      <c r="A90" s="15" t="s">
        <v>248</v>
      </c>
      <c r="B90" s="14" t="s">
        <v>26</v>
      </c>
      <c r="C90" s="1" t="s">
        <v>118</v>
      </c>
      <c r="D90" s="1" t="s">
        <v>119</v>
      </c>
      <c r="E90" s="2" t="s">
        <v>120</v>
      </c>
      <c r="F90" s="3" t="s">
        <v>126</v>
      </c>
      <c r="G90" s="15" t="s">
        <v>43</v>
      </c>
      <c r="H90" s="4">
        <v>0.5</v>
      </c>
      <c r="I90" s="2" t="s">
        <v>229</v>
      </c>
      <c r="J90" s="1" t="s">
        <v>45</v>
      </c>
      <c r="K90" s="7" t="s">
        <v>46</v>
      </c>
      <c r="L90" s="7" t="s">
        <v>47</v>
      </c>
      <c r="M90" s="8" t="s">
        <v>122</v>
      </c>
      <c r="N90" s="90">
        <v>0</v>
      </c>
      <c r="O90" s="9">
        <f t="shared" si="57"/>
        <v>5460</v>
      </c>
      <c r="P90" s="9">
        <f t="shared" si="57"/>
        <v>5460</v>
      </c>
      <c r="Q90" s="9">
        <f t="shared" si="57"/>
        <v>5460</v>
      </c>
      <c r="R90" s="9">
        <f t="shared" si="57"/>
        <v>5460</v>
      </c>
      <c r="S90" s="9">
        <v>0</v>
      </c>
      <c r="T90" s="10">
        <v>258</v>
      </c>
      <c r="U90" s="9">
        <v>0</v>
      </c>
      <c r="V90" s="9">
        <f t="shared" ref="V90" si="58">U90*1.12</f>
        <v>0</v>
      </c>
      <c r="W90" s="7" t="s">
        <v>49</v>
      </c>
      <c r="X90" s="91" t="s">
        <v>33</v>
      </c>
      <c r="Y90" s="15" t="s">
        <v>283</v>
      </c>
      <c r="AA90" s="136"/>
    </row>
    <row r="91" spans="1:27" s="22" customFormat="1" ht="89.25" outlineLevel="1" x14ac:dyDescent="0.3">
      <c r="A91" s="59" t="s">
        <v>298</v>
      </c>
      <c r="B91" s="109" t="s">
        <v>26</v>
      </c>
      <c r="C91" s="112" t="s">
        <v>118</v>
      </c>
      <c r="D91" s="112" t="s">
        <v>119</v>
      </c>
      <c r="E91" s="5" t="s">
        <v>120</v>
      </c>
      <c r="F91" s="110" t="s">
        <v>126</v>
      </c>
      <c r="G91" s="59" t="s">
        <v>282</v>
      </c>
      <c r="H91" s="111">
        <v>0.5</v>
      </c>
      <c r="I91" s="5" t="s">
        <v>325</v>
      </c>
      <c r="J91" s="112" t="s">
        <v>45</v>
      </c>
      <c r="K91" s="6" t="s">
        <v>46</v>
      </c>
      <c r="L91" s="6" t="s">
        <v>47</v>
      </c>
      <c r="M91" s="58" t="s">
        <v>122</v>
      </c>
      <c r="N91" s="21">
        <v>0</v>
      </c>
      <c r="O91" s="11">
        <f>4760+600+100-2730</f>
        <v>2730</v>
      </c>
      <c r="P91" s="11">
        <f t="shared" si="57"/>
        <v>5460</v>
      </c>
      <c r="Q91" s="11">
        <f t="shared" si="57"/>
        <v>5460</v>
      </c>
      <c r="R91" s="11">
        <f t="shared" si="57"/>
        <v>5460</v>
      </c>
      <c r="S91" s="9">
        <v>0</v>
      </c>
      <c r="T91" s="113">
        <v>258</v>
      </c>
      <c r="U91" s="11">
        <v>0</v>
      </c>
      <c r="V91" s="11">
        <f t="shared" ref="V91" si="59">U91*1.12</f>
        <v>0</v>
      </c>
      <c r="W91" s="6" t="s">
        <v>49</v>
      </c>
      <c r="X91" s="12" t="s">
        <v>33</v>
      </c>
      <c r="Y91" s="59" t="s">
        <v>455</v>
      </c>
      <c r="AA91" s="136"/>
    </row>
    <row r="92" spans="1:27" s="22" customFormat="1" ht="89.25" outlineLevel="1" x14ac:dyDescent="0.2">
      <c r="A92" s="59" t="s">
        <v>460</v>
      </c>
      <c r="B92" s="109" t="s">
        <v>26</v>
      </c>
      <c r="C92" s="112" t="s">
        <v>118</v>
      </c>
      <c r="D92" s="112" t="s">
        <v>119</v>
      </c>
      <c r="E92" s="5" t="s">
        <v>120</v>
      </c>
      <c r="F92" s="110" t="s">
        <v>126</v>
      </c>
      <c r="G92" s="59" t="s">
        <v>282</v>
      </c>
      <c r="H92" s="111">
        <v>0.5</v>
      </c>
      <c r="I92" s="5" t="s">
        <v>325</v>
      </c>
      <c r="J92" s="112" t="s">
        <v>45</v>
      </c>
      <c r="K92" s="6" t="s">
        <v>46</v>
      </c>
      <c r="L92" s="6" t="s">
        <v>47</v>
      </c>
      <c r="M92" s="58" t="s">
        <v>122</v>
      </c>
      <c r="N92" s="126">
        <v>0</v>
      </c>
      <c r="O92" s="127">
        <f>4760+600+100-2730</f>
        <v>2730</v>
      </c>
      <c r="P92" s="127">
        <f t="shared" si="57"/>
        <v>5460</v>
      </c>
      <c r="Q92" s="127">
        <f t="shared" si="57"/>
        <v>5460</v>
      </c>
      <c r="R92" s="127">
        <f t="shared" si="57"/>
        <v>5460</v>
      </c>
      <c r="S92" s="9">
        <v>0</v>
      </c>
      <c r="T92" s="127">
        <v>152.69999999999999</v>
      </c>
      <c r="U92" s="127">
        <f>(N92+O92+P92+Q92+R92+S92)*T92</f>
        <v>2918097</v>
      </c>
      <c r="V92" s="127">
        <f t="shared" ref="V92" si="60">U92*1.12</f>
        <v>3268268.64</v>
      </c>
      <c r="W92" s="6" t="s">
        <v>49</v>
      </c>
      <c r="X92" s="12" t="s">
        <v>33</v>
      </c>
      <c r="Y92" s="13"/>
      <c r="AA92" s="136"/>
    </row>
    <row r="93" spans="1:27" s="92" customFormat="1" ht="89.25" outlineLevel="1" x14ac:dyDescent="0.3">
      <c r="A93" s="15" t="s">
        <v>127</v>
      </c>
      <c r="B93" s="14" t="s">
        <v>26</v>
      </c>
      <c r="C93" s="1" t="s">
        <v>118</v>
      </c>
      <c r="D93" s="1" t="s">
        <v>119</v>
      </c>
      <c r="E93" s="2" t="s">
        <v>120</v>
      </c>
      <c r="F93" s="3" t="s">
        <v>128</v>
      </c>
      <c r="G93" s="15" t="s">
        <v>43</v>
      </c>
      <c r="H93" s="4">
        <v>0.5</v>
      </c>
      <c r="I93" s="2" t="s">
        <v>44</v>
      </c>
      <c r="J93" s="1" t="s">
        <v>45</v>
      </c>
      <c r="K93" s="7" t="s">
        <v>46</v>
      </c>
      <c r="L93" s="7" t="s">
        <v>47</v>
      </c>
      <c r="M93" s="8" t="s">
        <v>122</v>
      </c>
      <c r="N93" s="90">
        <v>0</v>
      </c>
      <c r="O93" s="9">
        <f t="shared" ref="O93:R96" si="61">3600+500+1224+12</f>
        <v>5336</v>
      </c>
      <c r="P93" s="9">
        <f t="shared" si="61"/>
        <v>5336</v>
      </c>
      <c r="Q93" s="9">
        <f t="shared" si="61"/>
        <v>5336</v>
      </c>
      <c r="R93" s="9">
        <f t="shared" si="61"/>
        <v>5336</v>
      </c>
      <c r="S93" s="9">
        <v>0</v>
      </c>
      <c r="T93" s="10">
        <v>329.46</v>
      </c>
      <c r="U93" s="9">
        <v>0</v>
      </c>
      <c r="V93" s="9">
        <f t="shared" si="2"/>
        <v>0</v>
      </c>
      <c r="W93" s="7" t="s">
        <v>49</v>
      </c>
      <c r="X93" s="91" t="s">
        <v>33</v>
      </c>
      <c r="Y93" s="15" t="s">
        <v>231</v>
      </c>
      <c r="AA93" s="136"/>
    </row>
    <row r="94" spans="1:27" s="92" customFormat="1" ht="89.25" outlineLevel="1" x14ac:dyDescent="0.3">
      <c r="A94" s="15" t="s">
        <v>249</v>
      </c>
      <c r="B94" s="14" t="s">
        <v>26</v>
      </c>
      <c r="C94" s="1" t="s">
        <v>118</v>
      </c>
      <c r="D94" s="1" t="s">
        <v>119</v>
      </c>
      <c r="E94" s="2" t="s">
        <v>120</v>
      </c>
      <c r="F94" s="3" t="s">
        <v>128</v>
      </c>
      <c r="G94" s="15" t="s">
        <v>43</v>
      </c>
      <c r="H94" s="4">
        <v>0.5</v>
      </c>
      <c r="I94" s="2" t="s">
        <v>229</v>
      </c>
      <c r="J94" s="1" t="s">
        <v>45</v>
      </c>
      <c r="K94" s="7" t="s">
        <v>46</v>
      </c>
      <c r="L94" s="7" t="s">
        <v>47</v>
      </c>
      <c r="M94" s="8" t="s">
        <v>122</v>
      </c>
      <c r="N94" s="90">
        <v>0</v>
      </c>
      <c r="O94" s="9">
        <f t="shared" si="61"/>
        <v>5336</v>
      </c>
      <c r="P94" s="9">
        <f t="shared" si="61"/>
        <v>5336</v>
      </c>
      <c r="Q94" s="9">
        <f t="shared" si="61"/>
        <v>5336</v>
      </c>
      <c r="R94" s="9">
        <f t="shared" si="61"/>
        <v>5336</v>
      </c>
      <c r="S94" s="9">
        <v>0</v>
      </c>
      <c r="T94" s="10">
        <v>325</v>
      </c>
      <c r="U94" s="9">
        <v>0</v>
      </c>
      <c r="V94" s="9">
        <f t="shared" ref="V94" si="62">U94*1.12</f>
        <v>0</v>
      </c>
      <c r="W94" s="7" t="s">
        <v>49</v>
      </c>
      <c r="X94" s="91" t="s">
        <v>33</v>
      </c>
      <c r="Y94" s="15" t="s">
        <v>283</v>
      </c>
      <c r="AA94" s="136"/>
    </row>
    <row r="95" spans="1:27" s="22" customFormat="1" ht="89.25" outlineLevel="1" x14ac:dyDescent="0.3">
      <c r="A95" s="59" t="s">
        <v>299</v>
      </c>
      <c r="B95" s="109" t="s">
        <v>26</v>
      </c>
      <c r="C95" s="112" t="s">
        <v>118</v>
      </c>
      <c r="D95" s="112" t="s">
        <v>119</v>
      </c>
      <c r="E95" s="5" t="s">
        <v>120</v>
      </c>
      <c r="F95" s="110" t="s">
        <v>128</v>
      </c>
      <c r="G95" s="59" t="s">
        <v>282</v>
      </c>
      <c r="H95" s="111">
        <v>0.5</v>
      </c>
      <c r="I95" s="5" t="s">
        <v>325</v>
      </c>
      <c r="J95" s="112" t="s">
        <v>45</v>
      </c>
      <c r="K95" s="6" t="s">
        <v>46</v>
      </c>
      <c r="L95" s="6" t="s">
        <v>47</v>
      </c>
      <c r="M95" s="58" t="s">
        <v>122</v>
      </c>
      <c r="N95" s="21">
        <v>0</v>
      </c>
      <c r="O95" s="11">
        <f>3600+500+1224+12-2668</f>
        <v>2668</v>
      </c>
      <c r="P95" s="11">
        <f t="shared" si="61"/>
        <v>5336</v>
      </c>
      <c r="Q95" s="11">
        <f t="shared" si="61"/>
        <v>5336</v>
      </c>
      <c r="R95" s="11">
        <f t="shared" si="61"/>
        <v>5336</v>
      </c>
      <c r="S95" s="9">
        <v>0</v>
      </c>
      <c r="T95" s="113">
        <v>325</v>
      </c>
      <c r="U95" s="11">
        <v>0</v>
      </c>
      <c r="V95" s="11">
        <f t="shared" ref="V95" si="63">U95*1.12</f>
        <v>0</v>
      </c>
      <c r="W95" s="6" t="s">
        <v>49</v>
      </c>
      <c r="X95" s="12" t="s">
        <v>33</v>
      </c>
      <c r="Y95" s="59" t="s">
        <v>455</v>
      </c>
      <c r="AA95" s="136"/>
    </row>
    <row r="96" spans="1:27" s="22" customFormat="1" ht="89.25" outlineLevel="1" x14ac:dyDescent="0.2">
      <c r="A96" s="59" t="s">
        <v>461</v>
      </c>
      <c r="B96" s="109" t="s">
        <v>26</v>
      </c>
      <c r="C96" s="112" t="s">
        <v>118</v>
      </c>
      <c r="D96" s="112" t="s">
        <v>119</v>
      </c>
      <c r="E96" s="5" t="s">
        <v>120</v>
      </c>
      <c r="F96" s="110" t="s">
        <v>128</v>
      </c>
      <c r="G96" s="59" t="s">
        <v>282</v>
      </c>
      <c r="H96" s="111">
        <v>0.5</v>
      </c>
      <c r="I96" s="5" t="s">
        <v>325</v>
      </c>
      <c r="J96" s="112" t="s">
        <v>45</v>
      </c>
      <c r="K96" s="6" t="s">
        <v>46</v>
      </c>
      <c r="L96" s="6" t="s">
        <v>47</v>
      </c>
      <c r="M96" s="58" t="s">
        <v>122</v>
      </c>
      <c r="N96" s="126">
        <v>0</v>
      </c>
      <c r="O96" s="127">
        <f>3600+500+1224+12-2668</f>
        <v>2668</v>
      </c>
      <c r="P96" s="127">
        <f t="shared" si="61"/>
        <v>5336</v>
      </c>
      <c r="Q96" s="127">
        <f t="shared" si="61"/>
        <v>5336</v>
      </c>
      <c r="R96" s="127">
        <f t="shared" si="61"/>
        <v>5336</v>
      </c>
      <c r="S96" s="9">
        <v>0</v>
      </c>
      <c r="T96" s="127">
        <v>312.5</v>
      </c>
      <c r="U96" s="127">
        <f>(N96+O96+P96+Q96+R96+S96)*T96</f>
        <v>5836250</v>
      </c>
      <c r="V96" s="127">
        <f t="shared" ref="V96" si="64">U96*1.12</f>
        <v>6536600.0000000009</v>
      </c>
      <c r="W96" s="6" t="s">
        <v>49</v>
      </c>
      <c r="X96" s="12" t="s">
        <v>33</v>
      </c>
      <c r="Y96" s="13"/>
      <c r="AA96" s="136"/>
    </row>
    <row r="97" spans="1:27" s="92" customFormat="1" ht="89.25" outlineLevel="1" x14ac:dyDescent="0.3">
      <c r="A97" s="15" t="s">
        <v>129</v>
      </c>
      <c r="B97" s="14" t="s">
        <v>26</v>
      </c>
      <c r="C97" s="1" t="s">
        <v>113</v>
      </c>
      <c r="D97" s="1" t="s">
        <v>114</v>
      </c>
      <c r="E97" s="2" t="s">
        <v>115</v>
      </c>
      <c r="F97" s="3" t="s">
        <v>130</v>
      </c>
      <c r="G97" s="15" t="s">
        <v>43</v>
      </c>
      <c r="H97" s="4">
        <v>0.5</v>
      </c>
      <c r="I97" s="2" t="s">
        <v>44</v>
      </c>
      <c r="J97" s="1" t="s">
        <v>45</v>
      </c>
      <c r="K97" s="7" t="s">
        <v>46</v>
      </c>
      <c r="L97" s="7" t="s">
        <v>47</v>
      </c>
      <c r="M97" s="8" t="s">
        <v>131</v>
      </c>
      <c r="N97" s="90">
        <v>0</v>
      </c>
      <c r="O97" s="9">
        <f t="shared" ref="O97:R100" si="65">800+12+2020+12+3840-520</f>
        <v>6164</v>
      </c>
      <c r="P97" s="9">
        <f t="shared" si="65"/>
        <v>6164</v>
      </c>
      <c r="Q97" s="9">
        <f t="shared" si="65"/>
        <v>6164</v>
      </c>
      <c r="R97" s="9">
        <f t="shared" si="65"/>
        <v>6164</v>
      </c>
      <c r="S97" s="9">
        <v>0</v>
      </c>
      <c r="T97" s="10">
        <v>250</v>
      </c>
      <c r="U97" s="9">
        <v>0</v>
      </c>
      <c r="V97" s="9">
        <f t="shared" si="2"/>
        <v>0</v>
      </c>
      <c r="W97" s="7" t="s">
        <v>49</v>
      </c>
      <c r="X97" s="91" t="s">
        <v>33</v>
      </c>
      <c r="Y97" s="15" t="s">
        <v>231</v>
      </c>
      <c r="AA97" s="136"/>
    </row>
    <row r="98" spans="1:27" s="92" customFormat="1" ht="89.25" outlineLevel="1" x14ac:dyDescent="0.3">
      <c r="A98" s="15" t="s">
        <v>300</v>
      </c>
      <c r="B98" s="14" t="s">
        <v>26</v>
      </c>
      <c r="C98" s="1" t="s">
        <v>113</v>
      </c>
      <c r="D98" s="1" t="s">
        <v>114</v>
      </c>
      <c r="E98" s="2" t="s">
        <v>115</v>
      </c>
      <c r="F98" s="3" t="s">
        <v>130</v>
      </c>
      <c r="G98" s="15" t="s">
        <v>43</v>
      </c>
      <c r="H98" s="4">
        <v>0.5</v>
      </c>
      <c r="I98" s="2" t="s">
        <v>229</v>
      </c>
      <c r="J98" s="1" t="s">
        <v>45</v>
      </c>
      <c r="K98" s="7" t="s">
        <v>46</v>
      </c>
      <c r="L98" s="7" t="s">
        <v>47</v>
      </c>
      <c r="M98" s="8" t="s">
        <v>131</v>
      </c>
      <c r="N98" s="90">
        <v>0</v>
      </c>
      <c r="O98" s="9">
        <f t="shared" si="65"/>
        <v>6164</v>
      </c>
      <c r="P98" s="9">
        <f t="shared" si="65"/>
        <v>6164</v>
      </c>
      <c r="Q98" s="9">
        <f t="shared" si="65"/>
        <v>6164</v>
      </c>
      <c r="R98" s="9">
        <f t="shared" si="65"/>
        <v>6164</v>
      </c>
      <c r="S98" s="9">
        <v>0</v>
      </c>
      <c r="T98" s="10">
        <v>225</v>
      </c>
      <c r="U98" s="9">
        <v>0</v>
      </c>
      <c r="V98" s="9">
        <f t="shared" ref="V98" si="66">U98*1.12</f>
        <v>0</v>
      </c>
      <c r="W98" s="7" t="s">
        <v>49</v>
      </c>
      <c r="X98" s="91" t="s">
        <v>33</v>
      </c>
      <c r="Y98" s="15" t="s">
        <v>283</v>
      </c>
      <c r="AA98" s="136"/>
    </row>
    <row r="99" spans="1:27" s="22" customFormat="1" ht="89.25" outlineLevel="1" x14ac:dyDescent="0.3">
      <c r="A99" s="59" t="s">
        <v>301</v>
      </c>
      <c r="B99" s="109" t="s">
        <v>26</v>
      </c>
      <c r="C99" s="112" t="s">
        <v>113</v>
      </c>
      <c r="D99" s="112" t="s">
        <v>114</v>
      </c>
      <c r="E99" s="5" t="s">
        <v>115</v>
      </c>
      <c r="F99" s="110" t="s">
        <v>130</v>
      </c>
      <c r="G99" s="59" t="s">
        <v>282</v>
      </c>
      <c r="H99" s="111">
        <v>0.5</v>
      </c>
      <c r="I99" s="5" t="s">
        <v>325</v>
      </c>
      <c r="J99" s="112" t="s">
        <v>45</v>
      </c>
      <c r="K99" s="6" t="s">
        <v>46</v>
      </c>
      <c r="L99" s="6" t="s">
        <v>47</v>
      </c>
      <c r="M99" s="58" t="s">
        <v>131</v>
      </c>
      <c r="N99" s="21">
        <v>0</v>
      </c>
      <c r="O99" s="11">
        <f>800+12+2020+12+3840-520-3082</f>
        <v>3082</v>
      </c>
      <c r="P99" s="11">
        <f t="shared" si="65"/>
        <v>6164</v>
      </c>
      <c r="Q99" s="11">
        <f t="shared" si="65"/>
        <v>6164</v>
      </c>
      <c r="R99" s="11">
        <f t="shared" si="65"/>
        <v>6164</v>
      </c>
      <c r="S99" s="9">
        <v>0</v>
      </c>
      <c r="T99" s="113">
        <v>225</v>
      </c>
      <c r="U99" s="11">
        <v>0</v>
      </c>
      <c r="V99" s="11">
        <f t="shared" ref="V99" si="67">U99*1.12</f>
        <v>0</v>
      </c>
      <c r="W99" s="6" t="s">
        <v>49</v>
      </c>
      <c r="X99" s="12" t="s">
        <v>33</v>
      </c>
      <c r="Y99" s="59" t="s">
        <v>455</v>
      </c>
      <c r="AA99" s="136"/>
    </row>
    <row r="100" spans="1:27" s="22" customFormat="1" ht="89.25" outlineLevel="1" x14ac:dyDescent="0.2">
      <c r="A100" s="59" t="s">
        <v>462</v>
      </c>
      <c r="B100" s="109" t="s">
        <v>26</v>
      </c>
      <c r="C100" s="112" t="s">
        <v>113</v>
      </c>
      <c r="D100" s="112" t="s">
        <v>114</v>
      </c>
      <c r="E100" s="5" t="s">
        <v>115</v>
      </c>
      <c r="F100" s="110" t="s">
        <v>130</v>
      </c>
      <c r="G100" s="59" t="s">
        <v>282</v>
      </c>
      <c r="H100" s="111">
        <v>0.5</v>
      </c>
      <c r="I100" s="5" t="s">
        <v>325</v>
      </c>
      <c r="J100" s="112" t="s">
        <v>45</v>
      </c>
      <c r="K100" s="6" t="s">
        <v>46</v>
      </c>
      <c r="L100" s="6" t="s">
        <v>47</v>
      </c>
      <c r="M100" s="58" t="s">
        <v>131</v>
      </c>
      <c r="N100" s="126">
        <v>0</v>
      </c>
      <c r="O100" s="127">
        <f>800+12+2020+12+3840-520-3082</f>
        <v>3082</v>
      </c>
      <c r="P100" s="127">
        <f t="shared" si="65"/>
        <v>6164</v>
      </c>
      <c r="Q100" s="127">
        <f t="shared" si="65"/>
        <v>6164</v>
      </c>
      <c r="R100" s="127">
        <f t="shared" si="65"/>
        <v>6164</v>
      </c>
      <c r="S100" s="9">
        <v>0</v>
      </c>
      <c r="T100" s="127">
        <v>259.11</v>
      </c>
      <c r="U100" s="127">
        <f>(N100+O100+P100+Q100+R100+S100)*T100</f>
        <v>5590039.1400000006</v>
      </c>
      <c r="V100" s="127">
        <f t="shared" ref="V100" si="68">U100*1.12</f>
        <v>6260843.8368000016</v>
      </c>
      <c r="W100" s="6" t="s">
        <v>49</v>
      </c>
      <c r="X100" s="12" t="s">
        <v>33</v>
      </c>
      <c r="Y100" s="13"/>
      <c r="AA100" s="136"/>
    </row>
    <row r="101" spans="1:27" s="92" customFormat="1" ht="89.25" outlineLevel="1" x14ac:dyDescent="0.3">
      <c r="A101" s="15" t="s">
        <v>132</v>
      </c>
      <c r="B101" s="14" t="s">
        <v>26</v>
      </c>
      <c r="C101" s="1" t="s">
        <v>133</v>
      </c>
      <c r="D101" s="1" t="s">
        <v>134</v>
      </c>
      <c r="E101" s="2" t="s">
        <v>135</v>
      </c>
      <c r="F101" s="3" t="s">
        <v>136</v>
      </c>
      <c r="G101" s="15" t="s">
        <v>43</v>
      </c>
      <c r="H101" s="4">
        <v>0.5</v>
      </c>
      <c r="I101" s="2" t="s">
        <v>44</v>
      </c>
      <c r="J101" s="1" t="s">
        <v>45</v>
      </c>
      <c r="K101" s="7" t="s">
        <v>46</v>
      </c>
      <c r="L101" s="7" t="s">
        <v>47</v>
      </c>
      <c r="M101" s="8" t="s">
        <v>107</v>
      </c>
      <c r="N101" s="90">
        <v>0</v>
      </c>
      <c r="O101" s="9">
        <f t="shared" ref="O101:R103" si="69">2600+17775+28+280+750+200+3500-450</f>
        <v>24683</v>
      </c>
      <c r="P101" s="9">
        <f t="shared" si="69"/>
        <v>24683</v>
      </c>
      <c r="Q101" s="9">
        <f t="shared" si="69"/>
        <v>24683</v>
      </c>
      <c r="R101" s="9">
        <f t="shared" si="69"/>
        <v>24683</v>
      </c>
      <c r="S101" s="9">
        <v>0</v>
      </c>
      <c r="T101" s="10">
        <v>200.89</v>
      </c>
      <c r="U101" s="9">
        <v>0</v>
      </c>
      <c r="V101" s="9">
        <f t="shared" si="2"/>
        <v>0</v>
      </c>
      <c r="W101" s="7" t="s">
        <v>49</v>
      </c>
      <c r="X101" s="91" t="s">
        <v>33</v>
      </c>
      <c r="Y101" s="15">
        <v>9</v>
      </c>
      <c r="AA101" s="136"/>
    </row>
    <row r="102" spans="1:27" s="92" customFormat="1" ht="89.25" outlineLevel="1" x14ac:dyDescent="0.3">
      <c r="A102" s="15" t="s">
        <v>250</v>
      </c>
      <c r="B102" s="14" t="s">
        <v>26</v>
      </c>
      <c r="C102" s="1" t="s">
        <v>133</v>
      </c>
      <c r="D102" s="1" t="s">
        <v>134</v>
      </c>
      <c r="E102" s="2" t="s">
        <v>135</v>
      </c>
      <c r="F102" s="3" t="s">
        <v>136</v>
      </c>
      <c r="G102" s="15" t="s">
        <v>43</v>
      </c>
      <c r="H102" s="4">
        <v>0.5</v>
      </c>
      <c r="I102" s="2" t="s">
        <v>229</v>
      </c>
      <c r="J102" s="1" t="s">
        <v>45</v>
      </c>
      <c r="K102" s="7" t="s">
        <v>46</v>
      </c>
      <c r="L102" s="7" t="s">
        <v>47</v>
      </c>
      <c r="M102" s="8" t="s">
        <v>107</v>
      </c>
      <c r="N102" s="90">
        <v>0</v>
      </c>
      <c r="O102" s="9">
        <f t="shared" si="69"/>
        <v>24683</v>
      </c>
      <c r="P102" s="9">
        <f t="shared" si="69"/>
        <v>24683</v>
      </c>
      <c r="Q102" s="9">
        <f t="shared" si="69"/>
        <v>24683</v>
      </c>
      <c r="R102" s="9">
        <f t="shared" si="69"/>
        <v>24683</v>
      </c>
      <c r="S102" s="9">
        <v>0</v>
      </c>
      <c r="T102" s="10">
        <v>200.89</v>
      </c>
      <c r="U102" s="9">
        <v>0</v>
      </c>
      <c r="V102" s="9">
        <f t="shared" ref="V102" si="70">U102*1.12</f>
        <v>0</v>
      </c>
      <c r="W102" s="7" t="s">
        <v>49</v>
      </c>
      <c r="X102" s="91" t="s">
        <v>33</v>
      </c>
      <c r="Y102" s="15" t="s">
        <v>283</v>
      </c>
      <c r="AA102" s="136"/>
    </row>
    <row r="103" spans="1:27" s="92" customFormat="1" ht="89.25" outlineLevel="1" x14ac:dyDescent="0.3">
      <c r="A103" s="15" t="s">
        <v>302</v>
      </c>
      <c r="B103" s="14" t="s">
        <v>26</v>
      </c>
      <c r="C103" s="1" t="s">
        <v>133</v>
      </c>
      <c r="D103" s="1" t="s">
        <v>134</v>
      </c>
      <c r="E103" s="2" t="s">
        <v>135</v>
      </c>
      <c r="F103" s="3" t="s">
        <v>136</v>
      </c>
      <c r="G103" s="15" t="s">
        <v>282</v>
      </c>
      <c r="H103" s="4">
        <v>0.5</v>
      </c>
      <c r="I103" s="2" t="s">
        <v>325</v>
      </c>
      <c r="J103" s="1" t="s">
        <v>45</v>
      </c>
      <c r="K103" s="7" t="s">
        <v>46</v>
      </c>
      <c r="L103" s="7" t="s">
        <v>47</v>
      </c>
      <c r="M103" s="8" t="s">
        <v>107</v>
      </c>
      <c r="N103" s="90">
        <v>0</v>
      </c>
      <c r="O103" s="9">
        <f>2600+17775+28+280+750+200+3500-450-12341</f>
        <v>12342</v>
      </c>
      <c r="P103" s="9">
        <f t="shared" si="69"/>
        <v>24683</v>
      </c>
      <c r="Q103" s="9">
        <f t="shared" si="69"/>
        <v>24683</v>
      </c>
      <c r="R103" s="9">
        <f t="shared" si="69"/>
        <v>24683</v>
      </c>
      <c r="S103" s="9">
        <v>0</v>
      </c>
      <c r="T103" s="10">
        <v>200.89</v>
      </c>
      <c r="U103" s="9">
        <v>0</v>
      </c>
      <c r="V103" s="9">
        <f t="shared" ref="V103" si="71">U103*1.12</f>
        <v>0</v>
      </c>
      <c r="W103" s="7" t="s">
        <v>49</v>
      </c>
      <c r="X103" s="91" t="s">
        <v>33</v>
      </c>
      <c r="Y103" s="15" t="s">
        <v>253</v>
      </c>
      <c r="AA103" s="136"/>
    </row>
    <row r="104" spans="1:27" s="92" customFormat="1" ht="89.25" outlineLevel="1" x14ac:dyDescent="0.3">
      <c r="A104" s="15" t="s">
        <v>137</v>
      </c>
      <c r="B104" s="14" t="s">
        <v>26</v>
      </c>
      <c r="C104" s="1" t="s">
        <v>133</v>
      </c>
      <c r="D104" s="1" t="s">
        <v>134</v>
      </c>
      <c r="E104" s="2" t="s">
        <v>135</v>
      </c>
      <c r="F104" s="3" t="s">
        <v>138</v>
      </c>
      <c r="G104" s="15" t="s">
        <v>43</v>
      </c>
      <c r="H104" s="4">
        <v>0.5</v>
      </c>
      <c r="I104" s="2" t="s">
        <v>44</v>
      </c>
      <c r="J104" s="1" t="s">
        <v>45</v>
      </c>
      <c r="K104" s="7" t="s">
        <v>46</v>
      </c>
      <c r="L104" s="7" t="s">
        <v>47</v>
      </c>
      <c r="M104" s="8" t="s">
        <v>107</v>
      </c>
      <c r="N104" s="90">
        <v>0</v>
      </c>
      <c r="O104" s="9">
        <f t="shared" ref="O104:R106" si="72">8+10+200+500+2400+199+150+500+4</f>
        <v>3971</v>
      </c>
      <c r="P104" s="9">
        <f t="shared" si="72"/>
        <v>3971</v>
      </c>
      <c r="Q104" s="9">
        <f t="shared" si="72"/>
        <v>3971</v>
      </c>
      <c r="R104" s="9">
        <f t="shared" si="72"/>
        <v>3971</v>
      </c>
      <c r="S104" s="9">
        <v>0</v>
      </c>
      <c r="T104" s="10">
        <v>286.61</v>
      </c>
      <c r="U104" s="9">
        <v>0</v>
      </c>
      <c r="V104" s="9">
        <f t="shared" si="2"/>
        <v>0</v>
      </c>
      <c r="W104" s="7" t="s">
        <v>49</v>
      </c>
      <c r="X104" s="91" t="s">
        <v>33</v>
      </c>
      <c r="Y104" s="15">
        <v>9</v>
      </c>
      <c r="AA104" s="136"/>
    </row>
    <row r="105" spans="1:27" s="92" customFormat="1" ht="89.25" outlineLevel="1" x14ac:dyDescent="0.3">
      <c r="A105" s="15" t="s">
        <v>251</v>
      </c>
      <c r="B105" s="14" t="s">
        <v>26</v>
      </c>
      <c r="C105" s="1" t="s">
        <v>133</v>
      </c>
      <c r="D105" s="1" t="s">
        <v>134</v>
      </c>
      <c r="E105" s="2" t="s">
        <v>135</v>
      </c>
      <c r="F105" s="3" t="s">
        <v>138</v>
      </c>
      <c r="G105" s="15" t="s">
        <v>43</v>
      </c>
      <c r="H105" s="4">
        <v>0.5</v>
      </c>
      <c r="I105" s="2" t="s">
        <v>229</v>
      </c>
      <c r="J105" s="1" t="s">
        <v>45</v>
      </c>
      <c r="K105" s="7" t="s">
        <v>46</v>
      </c>
      <c r="L105" s="7" t="s">
        <v>47</v>
      </c>
      <c r="M105" s="8" t="s">
        <v>107</v>
      </c>
      <c r="N105" s="90">
        <v>0</v>
      </c>
      <c r="O105" s="9">
        <f t="shared" si="72"/>
        <v>3971</v>
      </c>
      <c r="P105" s="9">
        <f t="shared" si="72"/>
        <v>3971</v>
      </c>
      <c r="Q105" s="9">
        <f t="shared" si="72"/>
        <v>3971</v>
      </c>
      <c r="R105" s="9">
        <f t="shared" si="72"/>
        <v>3971</v>
      </c>
      <c r="S105" s="9">
        <v>0</v>
      </c>
      <c r="T105" s="10">
        <v>286.61</v>
      </c>
      <c r="U105" s="9">
        <v>0</v>
      </c>
      <c r="V105" s="9">
        <f t="shared" ref="V105" si="73">U105*1.12</f>
        <v>0</v>
      </c>
      <c r="W105" s="7" t="s">
        <v>49</v>
      </c>
      <c r="X105" s="91" t="s">
        <v>33</v>
      </c>
      <c r="Y105" s="15" t="s">
        <v>283</v>
      </c>
      <c r="AA105" s="136"/>
    </row>
    <row r="106" spans="1:27" s="92" customFormat="1" ht="89.25" outlineLevel="1" x14ac:dyDescent="0.3">
      <c r="A106" s="15" t="s">
        <v>303</v>
      </c>
      <c r="B106" s="14" t="s">
        <v>26</v>
      </c>
      <c r="C106" s="1" t="s">
        <v>133</v>
      </c>
      <c r="D106" s="1" t="s">
        <v>134</v>
      </c>
      <c r="E106" s="2" t="s">
        <v>135</v>
      </c>
      <c r="F106" s="3" t="s">
        <v>138</v>
      </c>
      <c r="G106" s="15" t="s">
        <v>282</v>
      </c>
      <c r="H106" s="4">
        <v>0.5</v>
      </c>
      <c r="I106" s="2" t="s">
        <v>325</v>
      </c>
      <c r="J106" s="1" t="s">
        <v>45</v>
      </c>
      <c r="K106" s="7" t="s">
        <v>46</v>
      </c>
      <c r="L106" s="7" t="s">
        <v>47</v>
      </c>
      <c r="M106" s="8" t="s">
        <v>107</v>
      </c>
      <c r="N106" s="90">
        <v>0</v>
      </c>
      <c r="O106" s="9">
        <f>8+10+200+500+2400+199+150+500+4-1985</f>
        <v>1986</v>
      </c>
      <c r="P106" s="9">
        <f t="shared" si="72"/>
        <v>3971</v>
      </c>
      <c r="Q106" s="9">
        <f t="shared" si="72"/>
        <v>3971</v>
      </c>
      <c r="R106" s="9">
        <f t="shared" si="72"/>
        <v>3971</v>
      </c>
      <c r="S106" s="9">
        <v>0</v>
      </c>
      <c r="T106" s="10">
        <v>286.61</v>
      </c>
      <c r="U106" s="9">
        <v>0</v>
      </c>
      <c r="V106" s="9">
        <f t="shared" ref="V106" si="74">U106*1.12</f>
        <v>0</v>
      </c>
      <c r="W106" s="7" t="s">
        <v>49</v>
      </c>
      <c r="X106" s="91" t="s">
        <v>33</v>
      </c>
      <c r="Y106" s="15" t="s">
        <v>253</v>
      </c>
      <c r="AA106" s="136"/>
    </row>
    <row r="107" spans="1:27" s="92" customFormat="1" ht="89.25" outlineLevel="1" x14ac:dyDescent="0.3">
      <c r="A107" s="15" t="s">
        <v>139</v>
      </c>
      <c r="B107" s="14" t="s">
        <v>26</v>
      </c>
      <c r="C107" s="2" t="s">
        <v>140</v>
      </c>
      <c r="D107" s="2" t="s">
        <v>141</v>
      </c>
      <c r="E107" s="2" t="s">
        <v>142</v>
      </c>
      <c r="F107" s="3" t="s">
        <v>143</v>
      </c>
      <c r="G107" s="15" t="s">
        <v>43</v>
      </c>
      <c r="H107" s="4">
        <v>0.5</v>
      </c>
      <c r="I107" s="2" t="s">
        <v>44</v>
      </c>
      <c r="J107" s="1" t="s">
        <v>45</v>
      </c>
      <c r="K107" s="7" t="s">
        <v>46</v>
      </c>
      <c r="L107" s="7" t="s">
        <v>47</v>
      </c>
      <c r="M107" s="8" t="s">
        <v>144</v>
      </c>
      <c r="N107" s="90">
        <v>0</v>
      </c>
      <c r="O107" s="9">
        <f t="shared" ref="O107:R109" si="75">2304+4764+240+48+24+96+2352-504</f>
        <v>9324</v>
      </c>
      <c r="P107" s="9">
        <f t="shared" si="75"/>
        <v>9324</v>
      </c>
      <c r="Q107" s="9">
        <f t="shared" si="75"/>
        <v>9324</v>
      </c>
      <c r="R107" s="9">
        <f t="shared" si="75"/>
        <v>9324</v>
      </c>
      <c r="S107" s="9">
        <v>0</v>
      </c>
      <c r="T107" s="10">
        <v>128.15</v>
      </c>
      <c r="U107" s="9">
        <v>0</v>
      </c>
      <c r="V107" s="9">
        <f t="shared" si="2"/>
        <v>0</v>
      </c>
      <c r="W107" s="7" t="s">
        <v>49</v>
      </c>
      <c r="X107" s="91" t="s">
        <v>33</v>
      </c>
      <c r="Y107" s="15">
        <v>9</v>
      </c>
      <c r="AA107" s="136"/>
    </row>
    <row r="108" spans="1:27" s="92" customFormat="1" ht="89.25" outlineLevel="1" x14ac:dyDescent="0.3">
      <c r="A108" s="15" t="s">
        <v>252</v>
      </c>
      <c r="B108" s="14" t="s">
        <v>26</v>
      </c>
      <c r="C108" s="2" t="s">
        <v>140</v>
      </c>
      <c r="D108" s="2" t="s">
        <v>141</v>
      </c>
      <c r="E108" s="2" t="s">
        <v>142</v>
      </c>
      <c r="F108" s="3" t="s">
        <v>143</v>
      </c>
      <c r="G108" s="15" t="s">
        <v>43</v>
      </c>
      <c r="H108" s="4">
        <v>0.5</v>
      </c>
      <c r="I108" s="2" t="s">
        <v>229</v>
      </c>
      <c r="J108" s="1" t="s">
        <v>45</v>
      </c>
      <c r="K108" s="7" t="s">
        <v>46</v>
      </c>
      <c r="L108" s="7" t="s">
        <v>47</v>
      </c>
      <c r="M108" s="8" t="s">
        <v>144</v>
      </c>
      <c r="N108" s="90">
        <v>0</v>
      </c>
      <c r="O108" s="9">
        <f t="shared" si="75"/>
        <v>9324</v>
      </c>
      <c r="P108" s="9">
        <f t="shared" si="75"/>
        <v>9324</v>
      </c>
      <c r="Q108" s="9">
        <f t="shared" si="75"/>
        <v>9324</v>
      </c>
      <c r="R108" s="9">
        <f t="shared" si="75"/>
        <v>9324</v>
      </c>
      <c r="S108" s="9">
        <v>0</v>
      </c>
      <c r="T108" s="10">
        <v>128.15</v>
      </c>
      <c r="U108" s="9">
        <v>0</v>
      </c>
      <c r="V108" s="9">
        <f t="shared" ref="V108" si="76">U108*1.12</f>
        <v>0</v>
      </c>
      <c r="W108" s="7" t="s">
        <v>49</v>
      </c>
      <c r="X108" s="91" t="s">
        <v>33</v>
      </c>
      <c r="Y108" s="15">
        <v>7.9</v>
      </c>
      <c r="AA108" s="136"/>
    </row>
    <row r="109" spans="1:27" s="92" customFormat="1" ht="89.25" outlineLevel="1" x14ac:dyDescent="0.3">
      <c r="A109" s="15" t="s">
        <v>304</v>
      </c>
      <c r="B109" s="14" t="s">
        <v>26</v>
      </c>
      <c r="C109" s="2" t="s">
        <v>140</v>
      </c>
      <c r="D109" s="2" t="s">
        <v>141</v>
      </c>
      <c r="E109" s="2" t="s">
        <v>142</v>
      </c>
      <c r="F109" s="3" t="s">
        <v>143</v>
      </c>
      <c r="G109" s="15" t="s">
        <v>282</v>
      </c>
      <c r="H109" s="4">
        <v>0.5</v>
      </c>
      <c r="I109" s="2" t="s">
        <v>325</v>
      </c>
      <c r="J109" s="1" t="s">
        <v>45</v>
      </c>
      <c r="K109" s="7" t="s">
        <v>46</v>
      </c>
      <c r="L109" s="7" t="s">
        <v>47</v>
      </c>
      <c r="M109" s="8" t="s">
        <v>144</v>
      </c>
      <c r="N109" s="90">
        <v>0</v>
      </c>
      <c r="O109" s="9">
        <f t="shared" si="75"/>
        <v>9324</v>
      </c>
      <c r="P109" s="9">
        <f t="shared" si="75"/>
        <v>9324</v>
      </c>
      <c r="Q109" s="9">
        <f t="shared" si="75"/>
        <v>9324</v>
      </c>
      <c r="R109" s="9">
        <f t="shared" si="75"/>
        <v>9324</v>
      </c>
      <c r="S109" s="9">
        <v>0</v>
      </c>
      <c r="T109" s="10">
        <v>128.15</v>
      </c>
      <c r="U109" s="9">
        <v>0</v>
      </c>
      <c r="V109" s="9">
        <f t="shared" ref="V109" si="77">U109*1.12</f>
        <v>0</v>
      </c>
      <c r="W109" s="7" t="s">
        <v>49</v>
      </c>
      <c r="X109" s="91" t="s">
        <v>33</v>
      </c>
      <c r="Y109" s="15" t="s">
        <v>253</v>
      </c>
      <c r="AA109" s="136"/>
    </row>
    <row r="110" spans="1:27" s="92" customFormat="1" ht="89.25" outlineLevel="1" x14ac:dyDescent="0.3">
      <c r="A110" s="15" t="s">
        <v>145</v>
      </c>
      <c r="B110" s="14" t="s">
        <v>26</v>
      </c>
      <c r="C110" s="3" t="s">
        <v>146</v>
      </c>
      <c r="D110" s="3" t="s">
        <v>147</v>
      </c>
      <c r="E110" s="3" t="s">
        <v>148</v>
      </c>
      <c r="F110" s="3" t="s">
        <v>149</v>
      </c>
      <c r="G110" s="15" t="s">
        <v>43</v>
      </c>
      <c r="H110" s="4">
        <v>0.5</v>
      </c>
      <c r="I110" s="2" t="s">
        <v>44</v>
      </c>
      <c r="J110" s="1" t="s">
        <v>45</v>
      </c>
      <c r="K110" s="7" t="s">
        <v>46</v>
      </c>
      <c r="L110" s="7" t="s">
        <v>47</v>
      </c>
      <c r="M110" s="8" t="s">
        <v>76</v>
      </c>
      <c r="N110" s="90">
        <v>0</v>
      </c>
      <c r="O110" s="9">
        <f>1800+8+16+4+4692+40+112</f>
        <v>6672</v>
      </c>
      <c r="P110" s="9">
        <f>1800+8+16+4+4692+40+112</f>
        <v>6672</v>
      </c>
      <c r="Q110" s="9">
        <f>1800+8+16+4+4692+40+112</f>
        <v>6672</v>
      </c>
      <c r="R110" s="9">
        <f>1800+8+16+4+4692+40+112</f>
        <v>6672</v>
      </c>
      <c r="S110" s="9">
        <v>0</v>
      </c>
      <c r="T110" s="10">
        <v>42.85</v>
      </c>
      <c r="U110" s="9">
        <v>0</v>
      </c>
      <c r="V110" s="9">
        <f t="shared" si="2"/>
        <v>0</v>
      </c>
      <c r="W110" s="7" t="s">
        <v>49</v>
      </c>
      <c r="X110" s="91" t="s">
        <v>33</v>
      </c>
      <c r="Y110" s="15" t="s">
        <v>253</v>
      </c>
      <c r="AA110" s="136"/>
    </row>
    <row r="111" spans="1:27" s="92" customFormat="1" ht="102" outlineLevel="1" x14ac:dyDescent="0.3">
      <c r="A111" s="15" t="s">
        <v>150</v>
      </c>
      <c r="B111" s="14" t="s">
        <v>26</v>
      </c>
      <c r="C111" s="1" t="s">
        <v>151</v>
      </c>
      <c r="D111" s="1" t="s">
        <v>152</v>
      </c>
      <c r="E111" s="2" t="s">
        <v>153</v>
      </c>
      <c r="F111" s="3" t="s">
        <v>154</v>
      </c>
      <c r="G111" s="15" t="s">
        <v>43</v>
      </c>
      <c r="H111" s="4">
        <v>0.5</v>
      </c>
      <c r="I111" s="2" t="s">
        <v>44</v>
      </c>
      <c r="J111" s="1" t="s">
        <v>45</v>
      </c>
      <c r="K111" s="7" t="s">
        <v>46</v>
      </c>
      <c r="L111" s="7" t="s">
        <v>47</v>
      </c>
      <c r="M111" s="8" t="s">
        <v>76</v>
      </c>
      <c r="N111" s="90">
        <v>0</v>
      </c>
      <c r="O111" s="9">
        <f>196+40+8+3+4+291</f>
        <v>542</v>
      </c>
      <c r="P111" s="9">
        <f>196+40+8+3+4+291</f>
        <v>542</v>
      </c>
      <c r="Q111" s="9">
        <f>196+40+8+3+4+291</f>
        <v>542</v>
      </c>
      <c r="R111" s="9">
        <f>196+40+8+3+4+291</f>
        <v>542</v>
      </c>
      <c r="S111" s="9">
        <v>0</v>
      </c>
      <c r="T111" s="10">
        <v>754.46</v>
      </c>
      <c r="U111" s="9">
        <v>0</v>
      </c>
      <c r="V111" s="9">
        <f t="shared" si="2"/>
        <v>0</v>
      </c>
      <c r="W111" s="7" t="s">
        <v>49</v>
      </c>
      <c r="X111" s="91" t="s">
        <v>33</v>
      </c>
      <c r="Y111" s="15" t="s">
        <v>253</v>
      </c>
      <c r="AA111" s="136"/>
    </row>
    <row r="112" spans="1:27" s="92" customFormat="1" ht="89.25" outlineLevel="1" x14ac:dyDescent="0.3">
      <c r="A112" s="15" t="s">
        <v>155</v>
      </c>
      <c r="B112" s="14" t="s">
        <v>26</v>
      </c>
      <c r="C112" s="1" t="s">
        <v>51</v>
      </c>
      <c r="D112" s="1" t="s">
        <v>40</v>
      </c>
      <c r="E112" s="2" t="s">
        <v>41</v>
      </c>
      <c r="F112" s="3" t="s">
        <v>58</v>
      </c>
      <c r="G112" s="15" t="s">
        <v>43</v>
      </c>
      <c r="H112" s="4">
        <v>0.5</v>
      </c>
      <c r="I112" s="2" t="s">
        <v>44</v>
      </c>
      <c r="J112" s="1" t="s">
        <v>156</v>
      </c>
      <c r="K112" s="7" t="s">
        <v>46</v>
      </c>
      <c r="L112" s="7" t="s">
        <v>47</v>
      </c>
      <c r="M112" s="8" t="s">
        <v>53</v>
      </c>
      <c r="N112" s="90">
        <v>0</v>
      </c>
      <c r="O112" s="9">
        <v>342</v>
      </c>
      <c r="P112" s="9">
        <v>342</v>
      </c>
      <c r="Q112" s="9">
        <v>342</v>
      </c>
      <c r="R112" s="9">
        <v>342</v>
      </c>
      <c r="S112" s="9">
        <v>0</v>
      </c>
      <c r="T112" s="10">
        <v>319.76</v>
      </c>
      <c r="U112" s="9">
        <v>0</v>
      </c>
      <c r="V112" s="9">
        <f t="shared" si="2"/>
        <v>0</v>
      </c>
      <c r="W112" s="7" t="s">
        <v>49</v>
      </c>
      <c r="X112" s="91" t="s">
        <v>33</v>
      </c>
      <c r="Y112" s="15" t="s">
        <v>231</v>
      </c>
      <c r="AA112" s="136"/>
    </row>
    <row r="113" spans="1:27" s="92" customFormat="1" ht="89.25" outlineLevel="1" x14ac:dyDescent="0.3">
      <c r="A113" s="15" t="s">
        <v>254</v>
      </c>
      <c r="B113" s="14" t="s">
        <v>26</v>
      </c>
      <c r="C113" s="1" t="s">
        <v>51</v>
      </c>
      <c r="D113" s="1" t="s">
        <v>40</v>
      </c>
      <c r="E113" s="2" t="s">
        <v>41</v>
      </c>
      <c r="F113" s="3" t="s">
        <v>58</v>
      </c>
      <c r="G113" s="15" t="s">
        <v>43</v>
      </c>
      <c r="H113" s="4">
        <v>0.5</v>
      </c>
      <c r="I113" s="2" t="s">
        <v>229</v>
      </c>
      <c r="J113" s="1" t="s">
        <v>156</v>
      </c>
      <c r="K113" s="7" t="s">
        <v>46</v>
      </c>
      <c r="L113" s="7" t="s">
        <v>47</v>
      </c>
      <c r="M113" s="8" t="s">
        <v>53</v>
      </c>
      <c r="N113" s="90">
        <v>0</v>
      </c>
      <c r="O113" s="9">
        <v>342</v>
      </c>
      <c r="P113" s="9">
        <v>342</v>
      </c>
      <c r="Q113" s="9">
        <v>342</v>
      </c>
      <c r="R113" s="9">
        <v>342</v>
      </c>
      <c r="S113" s="9">
        <v>0</v>
      </c>
      <c r="T113" s="10">
        <v>287.69</v>
      </c>
      <c r="U113" s="9">
        <v>0</v>
      </c>
      <c r="V113" s="9">
        <f t="shared" ref="V113" si="78">U113*1.12</f>
        <v>0</v>
      </c>
      <c r="W113" s="7" t="s">
        <v>49</v>
      </c>
      <c r="X113" s="91" t="s">
        <v>33</v>
      </c>
      <c r="Y113" s="15" t="s">
        <v>283</v>
      </c>
      <c r="AA113" s="136"/>
    </row>
    <row r="114" spans="1:27" s="92" customFormat="1" ht="89.25" outlineLevel="1" x14ac:dyDescent="0.3">
      <c r="A114" s="15" t="s">
        <v>305</v>
      </c>
      <c r="B114" s="14" t="s">
        <v>26</v>
      </c>
      <c r="C114" s="1" t="s">
        <v>51</v>
      </c>
      <c r="D114" s="1" t="s">
        <v>40</v>
      </c>
      <c r="E114" s="2" t="s">
        <v>41</v>
      </c>
      <c r="F114" s="3" t="s">
        <v>58</v>
      </c>
      <c r="G114" s="15" t="s">
        <v>282</v>
      </c>
      <c r="H114" s="4">
        <v>0.5</v>
      </c>
      <c r="I114" s="2" t="s">
        <v>325</v>
      </c>
      <c r="J114" s="1" t="s">
        <v>156</v>
      </c>
      <c r="K114" s="7" t="s">
        <v>46</v>
      </c>
      <c r="L114" s="7" t="s">
        <v>47</v>
      </c>
      <c r="M114" s="8" t="s">
        <v>53</v>
      </c>
      <c r="N114" s="90">
        <v>0</v>
      </c>
      <c r="O114" s="9">
        <f>342-171</f>
        <v>171</v>
      </c>
      <c r="P114" s="9">
        <v>342</v>
      </c>
      <c r="Q114" s="9">
        <v>342</v>
      </c>
      <c r="R114" s="9">
        <v>342</v>
      </c>
      <c r="S114" s="9">
        <v>0</v>
      </c>
      <c r="T114" s="10">
        <v>287.69</v>
      </c>
      <c r="U114" s="9">
        <v>0</v>
      </c>
      <c r="V114" s="9">
        <f t="shared" ref="V114" si="79">U114*1.12</f>
        <v>0</v>
      </c>
      <c r="W114" s="7" t="s">
        <v>49</v>
      </c>
      <c r="X114" s="91" t="s">
        <v>33</v>
      </c>
      <c r="Y114" s="15" t="s">
        <v>253</v>
      </c>
      <c r="AA114" s="136"/>
    </row>
    <row r="115" spans="1:27" s="92" customFormat="1" ht="89.25" outlineLevel="1" x14ac:dyDescent="0.3">
      <c r="A115" s="15" t="s">
        <v>157</v>
      </c>
      <c r="B115" s="14" t="s">
        <v>26</v>
      </c>
      <c r="C115" s="1" t="s">
        <v>55</v>
      </c>
      <c r="D115" s="1" t="s">
        <v>56</v>
      </c>
      <c r="E115" s="2" t="s">
        <v>57</v>
      </c>
      <c r="F115" s="3" t="s">
        <v>58</v>
      </c>
      <c r="G115" s="15" t="s">
        <v>43</v>
      </c>
      <c r="H115" s="4">
        <v>0.5</v>
      </c>
      <c r="I115" s="2" t="s">
        <v>44</v>
      </c>
      <c r="J115" s="1" t="s">
        <v>156</v>
      </c>
      <c r="K115" s="7" t="s">
        <v>46</v>
      </c>
      <c r="L115" s="7" t="s">
        <v>47</v>
      </c>
      <c r="M115" s="8" t="s">
        <v>53</v>
      </c>
      <c r="N115" s="90">
        <v>0</v>
      </c>
      <c r="O115" s="9">
        <v>660</v>
      </c>
      <c r="P115" s="9">
        <v>660</v>
      </c>
      <c r="Q115" s="9">
        <v>660</v>
      </c>
      <c r="R115" s="9">
        <v>660</v>
      </c>
      <c r="S115" s="9">
        <v>0</v>
      </c>
      <c r="T115" s="10">
        <v>395.18</v>
      </c>
      <c r="U115" s="9">
        <v>0</v>
      </c>
      <c r="V115" s="9">
        <f t="shared" si="2"/>
        <v>0</v>
      </c>
      <c r="W115" s="7" t="s">
        <v>49</v>
      </c>
      <c r="X115" s="91" t="s">
        <v>33</v>
      </c>
      <c r="Y115" s="15" t="s">
        <v>231</v>
      </c>
      <c r="AA115" s="136"/>
    </row>
    <row r="116" spans="1:27" s="92" customFormat="1" ht="89.25" outlineLevel="1" x14ac:dyDescent="0.3">
      <c r="A116" s="15" t="s">
        <v>255</v>
      </c>
      <c r="B116" s="14" t="s">
        <v>26</v>
      </c>
      <c r="C116" s="1" t="s">
        <v>55</v>
      </c>
      <c r="D116" s="1" t="s">
        <v>56</v>
      </c>
      <c r="E116" s="2" t="s">
        <v>57</v>
      </c>
      <c r="F116" s="3" t="s">
        <v>58</v>
      </c>
      <c r="G116" s="15" t="s">
        <v>43</v>
      </c>
      <c r="H116" s="4">
        <v>0.5</v>
      </c>
      <c r="I116" s="2" t="s">
        <v>229</v>
      </c>
      <c r="J116" s="1" t="s">
        <v>156</v>
      </c>
      <c r="K116" s="7" t="s">
        <v>46</v>
      </c>
      <c r="L116" s="7" t="s">
        <v>47</v>
      </c>
      <c r="M116" s="8" t="s">
        <v>53</v>
      </c>
      <c r="N116" s="90">
        <v>0</v>
      </c>
      <c r="O116" s="9">
        <v>660</v>
      </c>
      <c r="P116" s="9">
        <v>660</v>
      </c>
      <c r="Q116" s="9">
        <v>660</v>
      </c>
      <c r="R116" s="9">
        <v>660</v>
      </c>
      <c r="S116" s="9">
        <v>0</v>
      </c>
      <c r="T116" s="10">
        <v>298</v>
      </c>
      <c r="U116" s="9">
        <v>0</v>
      </c>
      <c r="V116" s="9">
        <f t="shared" ref="V116" si="80">U116*1.12</f>
        <v>0</v>
      </c>
      <c r="W116" s="7" t="s">
        <v>49</v>
      </c>
      <c r="X116" s="91" t="s">
        <v>33</v>
      </c>
      <c r="Y116" s="15" t="s">
        <v>283</v>
      </c>
      <c r="AA116" s="136"/>
    </row>
    <row r="117" spans="1:27" s="92" customFormat="1" ht="89.25" outlineLevel="1" x14ac:dyDescent="0.3">
      <c r="A117" s="15" t="s">
        <v>306</v>
      </c>
      <c r="B117" s="14" t="s">
        <v>26</v>
      </c>
      <c r="C117" s="1" t="s">
        <v>55</v>
      </c>
      <c r="D117" s="1" t="s">
        <v>56</v>
      </c>
      <c r="E117" s="2" t="s">
        <v>57</v>
      </c>
      <c r="F117" s="3" t="s">
        <v>58</v>
      </c>
      <c r="G117" s="15" t="s">
        <v>282</v>
      </c>
      <c r="H117" s="4">
        <v>0.5</v>
      </c>
      <c r="I117" s="2" t="s">
        <v>325</v>
      </c>
      <c r="J117" s="1" t="s">
        <v>156</v>
      </c>
      <c r="K117" s="7" t="s">
        <v>46</v>
      </c>
      <c r="L117" s="7" t="s">
        <v>47</v>
      </c>
      <c r="M117" s="8" t="s">
        <v>53</v>
      </c>
      <c r="N117" s="90">
        <v>0</v>
      </c>
      <c r="O117" s="9">
        <f>660-330</f>
        <v>330</v>
      </c>
      <c r="P117" s="9">
        <v>660</v>
      </c>
      <c r="Q117" s="9">
        <v>660</v>
      </c>
      <c r="R117" s="9">
        <v>660</v>
      </c>
      <c r="S117" s="9">
        <v>0</v>
      </c>
      <c r="T117" s="10">
        <v>298</v>
      </c>
      <c r="U117" s="9">
        <v>0</v>
      </c>
      <c r="V117" s="9">
        <f t="shared" ref="V117" si="81">U117*1.12</f>
        <v>0</v>
      </c>
      <c r="W117" s="7" t="s">
        <v>49</v>
      </c>
      <c r="X117" s="91" t="s">
        <v>33</v>
      </c>
      <c r="Y117" s="15" t="s">
        <v>253</v>
      </c>
      <c r="AA117" s="136"/>
    </row>
    <row r="118" spans="1:27" s="92" customFormat="1" ht="89.25" outlineLevel="1" x14ac:dyDescent="0.3">
      <c r="A118" s="15" t="s">
        <v>158</v>
      </c>
      <c r="B118" s="14" t="s">
        <v>26</v>
      </c>
      <c r="C118" s="1" t="s">
        <v>98</v>
      </c>
      <c r="D118" s="1" t="s">
        <v>99</v>
      </c>
      <c r="E118" s="2" t="s">
        <v>100</v>
      </c>
      <c r="F118" s="3" t="s">
        <v>58</v>
      </c>
      <c r="G118" s="15" t="s">
        <v>43</v>
      </c>
      <c r="H118" s="4">
        <v>0.5</v>
      </c>
      <c r="I118" s="2" t="s">
        <v>44</v>
      </c>
      <c r="J118" s="1" t="s">
        <v>156</v>
      </c>
      <c r="K118" s="7" t="s">
        <v>46</v>
      </c>
      <c r="L118" s="7" t="s">
        <v>47</v>
      </c>
      <c r="M118" s="8" t="s">
        <v>53</v>
      </c>
      <c r="N118" s="90">
        <v>0</v>
      </c>
      <c r="O118" s="9">
        <v>344</v>
      </c>
      <c r="P118" s="9">
        <v>344</v>
      </c>
      <c r="Q118" s="9">
        <v>344</v>
      </c>
      <c r="R118" s="9">
        <v>344</v>
      </c>
      <c r="S118" s="9">
        <v>0</v>
      </c>
      <c r="T118" s="10">
        <v>555.70000000000005</v>
      </c>
      <c r="U118" s="9">
        <v>0</v>
      </c>
      <c r="V118" s="9">
        <f t="shared" si="2"/>
        <v>0</v>
      </c>
      <c r="W118" s="7" t="s">
        <v>49</v>
      </c>
      <c r="X118" s="91" t="s">
        <v>33</v>
      </c>
      <c r="Y118" s="15" t="s">
        <v>231</v>
      </c>
      <c r="AA118" s="136"/>
    </row>
    <row r="119" spans="1:27" s="92" customFormat="1" ht="89.25" outlineLevel="1" x14ac:dyDescent="0.3">
      <c r="A119" s="15" t="s">
        <v>256</v>
      </c>
      <c r="B119" s="14" t="s">
        <v>26</v>
      </c>
      <c r="C119" s="1" t="s">
        <v>98</v>
      </c>
      <c r="D119" s="1" t="s">
        <v>99</v>
      </c>
      <c r="E119" s="2" t="s">
        <v>100</v>
      </c>
      <c r="F119" s="3" t="s">
        <v>58</v>
      </c>
      <c r="G119" s="15" t="s">
        <v>43</v>
      </c>
      <c r="H119" s="4">
        <v>0.5</v>
      </c>
      <c r="I119" s="2" t="s">
        <v>229</v>
      </c>
      <c r="J119" s="1" t="s">
        <v>156</v>
      </c>
      <c r="K119" s="7" t="s">
        <v>46</v>
      </c>
      <c r="L119" s="7" t="s">
        <v>47</v>
      </c>
      <c r="M119" s="8" t="s">
        <v>53</v>
      </c>
      <c r="N119" s="90">
        <v>0</v>
      </c>
      <c r="O119" s="9">
        <v>344</v>
      </c>
      <c r="P119" s="9">
        <v>344</v>
      </c>
      <c r="Q119" s="9">
        <v>344</v>
      </c>
      <c r="R119" s="9">
        <v>344</v>
      </c>
      <c r="S119" s="9">
        <v>0</v>
      </c>
      <c r="T119" s="10">
        <v>324</v>
      </c>
      <c r="U119" s="9">
        <v>0</v>
      </c>
      <c r="V119" s="9">
        <f t="shared" ref="V119" si="82">U119*1.12</f>
        <v>0</v>
      </c>
      <c r="W119" s="7" t="s">
        <v>49</v>
      </c>
      <c r="X119" s="91" t="s">
        <v>33</v>
      </c>
      <c r="Y119" s="15" t="s">
        <v>283</v>
      </c>
      <c r="AA119" s="136"/>
    </row>
    <row r="120" spans="1:27" s="92" customFormat="1" ht="89.25" outlineLevel="1" x14ac:dyDescent="0.3">
      <c r="A120" s="15" t="s">
        <v>307</v>
      </c>
      <c r="B120" s="14" t="s">
        <v>26</v>
      </c>
      <c r="C120" s="1" t="s">
        <v>98</v>
      </c>
      <c r="D120" s="1" t="s">
        <v>99</v>
      </c>
      <c r="E120" s="2" t="s">
        <v>100</v>
      </c>
      <c r="F120" s="3" t="s">
        <v>58</v>
      </c>
      <c r="G120" s="15" t="s">
        <v>282</v>
      </c>
      <c r="H120" s="4">
        <v>0.5</v>
      </c>
      <c r="I120" s="2" t="s">
        <v>325</v>
      </c>
      <c r="J120" s="1" t="s">
        <v>156</v>
      </c>
      <c r="K120" s="7" t="s">
        <v>46</v>
      </c>
      <c r="L120" s="7" t="s">
        <v>47</v>
      </c>
      <c r="M120" s="8" t="s">
        <v>53</v>
      </c>
      <c r="N120" s="90">
        <v>0</v>
      </c>
      <c r="O120" s="9">
        <v>172</v>
      </c>
      <c r="P120" s="9">
        <v>344</v>
      </c>
      <c r="Q120" s="9">
        <v>344</v>
      </c>
      <c r="R120" s="9">
        <v>344</v>
      </c>
      <c r="S120" s="9">
        <v>0</v>
      </c>
      <c r="T120" s="10">
        <v>324</v>
      </c>
      <c r="U120" s="9">
        <v>0</v>
      </c>
      <c r="V120" s="9">
        <f t="shared" ref="V120" si="83">U120*1.12</f>
        <v>0</v>
      </c>
      <c r="W120" s="7" t="s">
        <v>49</v>
      </c>
      <c r="X120" s="91" t="s">
        <v>33</v>
      </c>
      <c r="Y120" s="15" t="s">
        <v>253</v>
      </c>
      <c r="AA120" s="136"/>
    </row>
    <row r="121" spans="1:27" s="92" customFormat="1" ht="140.25" outlineLevel="1" x14ac:dyDescent="0.3">
      <c r="A121" s="15" t="s">
        <v>159</v>
      </c>
      <c r="B121" s="14" t="s">
        <v>26</v>
      </c>
      <c r="C121" s="1" t="s">
        <v>67</v>
      </c>
      <c r="D121" s="1" t="s">
        <v>68</v>
      </c>
      <c r="E121" s="2" t="s">
        <v>69</v>
      </c>
      <c r="F121" s="3" t="s">
        <v>70</v>
      </c>
      <c r="G121" s="15" t="s">
        <v>43</v>
      </c>
      <c r="H121" s="4">
        <v>0.5</v>
      </c>
      <c r="I121" s="2" t="s">
        <v>44</v>
      </c>
      <c r="J121" s="1" t="s">
        <v>156</v>
      </c>
      <c r="K121" s="7" t="s">
        <v>46</v>
      </c>
      <c r="L121" s="7" t="s">
        <v>47</v>
      </c>
      <c r="M121" s="8" t="s">
        <v>53</v>
      </c>
      <c r="N121" s="90">
        <v>0</v>
      </c>
      <c r="O121" s="9">
        <v>198</v>
      </c>
      <c r="P121" s="9">
        <v>198</v>
      </c>
      <c r="Q121" s="9">
        <v>198</v>
      </c>
      <c r="R121" s="9">
        <v>198</v>
      </c>
      <c r="S121" s="9">
        <v>0</v>
      </c>
      <c r="T121" s="10">
        <v>128.57</v>
      </c>
      <c r="U121" s="9">
        <v>0</v>
      </c>
      <c r="V121" s="9">
        <f t="shared" si="2"/>
        <v>0</v>
      </c>
      <c r="W121" s="7" t="s">
        <v>49</v>
      </c>
      <c r="X121" s="91" t="s">
        <v>33</v>
      </c>
      <c r="Y121" s="15" t="s">
        <v>231</v>
      </c>
      <c r="AA121" s="136"/>
    </row>
    <row r="122" spans="1:27" s="92" customFormat="1" ht="140.25" outlineLevel="1" x14ac:dyDescent="0.3">
      <c r="A122" s="15" t="s">
        <v>257</v>
      </c>
      <c r="B122" s="14" t="s">
        <v>26</v>
      </c>
      <c r="C122" s="1" t="s">
        <v>67</v>
      </c>
      <c r="D122" s="1" t="s">
        <v>68</v>
      </c>
      <c r="E122" s="2" t="s">
        <v>69</v>
      </c>
      <c r="F122" s="3" t="s">
        <v>70</v>
      </c>
      <c r="G122" s="15" t="s">
        <v>43</v>
      </c>
      <c r="H122" s="4">
        <v>0.5</v>
      </c>
      <c r="I122" s="2" t="s">
        <v>229</v>
      </c>
      <c r="J122" s="1" t="s">
        <v>156</v>
      </c>
      <c r="K122" s="7" t="s">
        <v>46</v>
      </c>
      <c r="L122" s="7" t="s">
        <v>47</v>
      </c>
      <c r="M122" s="8" t="s">
        <v>53</v>
      </c>
      <c r="N122" s="90">
        <v>0</v>
      </c>
      <c r="O122" s="9">
        <v>198</v>
      </c>
      <c r="P122" s="9">
        <v>198</v>
      </c>
      <c r="Q122" s="9">
        <v>198</v>
      </c>
      <c r="R122" s="9">
        <v>198</v>
      </c>
      <c r="S122" s="9">
        <v>0</v>
      </c>
      <c r="T122" s="10">
        <v>117.5</v>
      </c>
      <c r="U122" s="9">
        <v>0</v>
      </c>
      <c r="V122" s="9">
        <f t="shared" ref="V122" si="84">U122*1.12</f>
        <v>0</v>
      </c>
      <c r="W122" s="7" t="s">
        <v>49</v>
      </c>
      <c r="X122" s="91" t="s">
        <v>33</v>
      </c>
      <c r="Y122" s="15">
        <v>7.9</v>
      </c>
      <c r="AA122" s="136"/>
    </row>
    <row r="123" spans="1:27" s="92" customFormat="1" ht="140.25" outlineLevel="1" x14ac:dyDescent="0.3">
      <c r="A123" s="15" t="s">
        <v>308</v>
      </c>
      <c r="B123" s="14" t="s">
        <v>26</v>
      </c>
      <c r="C123" s="1" t="s">
        <v>67</v>
      </c>
      <c r="D123" s="1" t="s">
        <v>68</v>
      </c>
      <c r="E123" s="2" t="s">
        <v>69</v>
      </c>
      <c r="F123" s="3" t="s">
        <v>70</v>
      </c>
      <c r="G123" s="15" t="s">
        <v>282</v>
      </c>
      <c r="H123" s="4">
        <v>0.5</v>
      </c>
      <c r="I123" s="2" t="s">
        <v>325</v>
      </c>
      <c r="J123" s="1" t="s">
        <v>156</v>
      </c>
      <c r="K123" s="7" t="s">
        <v>46</v>
      </c>
      <c r="L123" s="7" t="s">
        <v>47</v>
      </c>
      <c r="M123" s="8" t="s">
        <v>53</v>
      </c>
      <c r="N123" s="90">
        <v>0</v>
      </c>
      <c r="O123" s="9">
        <v>198</v>
      </c>
      <c r="P123" s="9">
        <v>198</v>
      </c>
      <c r="Q123" s="9">
        <v>198</v>
      </c>
      <c r="R123" s="9">
        <v>198</v>
      </c>
      <c r="S123" s="9">
        <v>0</v>
      </c>
      <c r="T123" s="10">
        <v>117.5</v>
      </c>
      <c r="U123" s="9">
        <v>0</v>
      </c>
      <c r="V123" s="9">
        <f t="shared" ref="V123" si="85">U123*1.12</f>
        <v>0</v>
      </c>
      <c r="W123" s="7" t="s">
        <v>49</v>
      </c>
      <c r="X123" s="91" t="s">
        <v>33</v>
      </c>
      <c r="Y123" s="15" t="s">
        <v>253</v>
      </c>
      <c r="AA123" s="136"/>
    </row>
    <row r="124" spans="1:27" s="92" customFormat="1" ht="89.25" outlineLevel="1" x14ac:dyDescent="0.3">
      <c r="A124" s="15" t="s">
        <v>160</v>
      </c>
      <c r="B124" s="14" t="s">
        <v>26</v>
      </c>
      <c r="C124" s="1" t="s">
        <v>86</v>
      </c>
      <c r="D124" s="1" t="s">
        <v>87</v>
      </c>
      <c r="E124" s="2" t="s">
        <v>88</v>
      </c>
      <c r="F124" s="3" t="s">
        <v>161</v>
      </c>
      <c r="G124" s="15" t="s">
        <v>43</v>
      </c>
      <c r="H124" s="4">
        <v>0.5</v>
      </c>
      <c r="I124" s="2" t="s">
        <v>44</v>
      </c>
      <c r="J124" s="1" t="s">
        <v>156</v>
      </c>
      <c r="K124" s="7" t="s">
        <v>46</v>
      </c>
      <c r="L124" s="7" t="s">
        <v>47</v>
      </c>
      <c r="M124" s="8" t="s">
        <v>76</v>
      </c>
      <c r="N124" s="90">
        <v>0</v>
      </c>
      <c r="O124" s="9">
        <v>376</v>
      </c>
      <c r="P124" s="9">
        <v>376</v>
      </c>
      <c r="Q124" s="9">
        <v>376</v>
      </c>
      <c r="R124" s="9">
        <v>376</v>
      </c>
      <c r="S124" s="9">
        <v>0</v>
      </c>
      <c r="T124" s="10">
        <v>697.15</v>
      </c>
      <c r="U124" s="9">
        <v>0</v>
      </c>
      <c r="V124" s="9">
        <f t="shared" si="2"/>
        <v>0</v>
      </c>
      <c r="W124" s="7" t="s">
        <v>49</v>
      </c>
      <c r="X124" s="91" t="s">
        <v>33</v>
      </c>
      <c r="Y124" s="15" t="s">
        <v>231</v>
      </c>
      <c r="AA124" s="136"/>
    </row>
    <row r="125" spans="1:27" s="92" customFormat="1" ht="89.25" outlineLevel="1" x14ac:dyDescent="0.3">
      <c r="A125" s="15" t="s">
        <v>258</v>
      </c>
      <c r="B125" s="14" t="s">
        <v>26</v>
      </c>
      <c r="C125" s="1" t="s">
        <v>86</v>
      </c>
      <c r="D125" s="1" t="s">
        <v>87</v>
      </c>
      <c r="E125" s="2" t="s">
        <v>88</v>
      </c>
      <c r="F125" s="3" t="s">
        <v>161</v>
      </c>
      <c r="G125" s="15" t="s">
        <v>43</v>
      </c>
      <c r="H125" s="4">
        <v>0.5</v>
      </c>
      <c r="I125" s="2" t="s">
        <v>229</v>
      </c>
      <c r="J125" s="1" t="s">
        <v>156</v>
      </c>
      <c r="K125" s="7" t="s">
        <v>46</v>
      </c>
      <c r="L125" s="7" t="s">
        <v>47</v>
      </c>
      <c r="M125" s="8" t="s">
        <v>76</v>
      </c>
      <c r="N125" s="90">
        <v>0</v>
      </c>
      <c r="O125" s="9">
        <v>376</v>
      </c>
      <c r="P125" s="9">
        <v>376</v>
      </c>
      <c r="Q125" s="9">
        <v>376</v>
      </c>
      <c r="R125" s="9">
        <v>376</v>
      </c>
      <c r="S125" s="9">
        <v>0</v>
      </c>
      <c r="T125" s="10">
        <v>457.33</v>
      </c>
      <c r="U125" s="9">
        <v>0</v>
      </c>
      <c r="V125" s="9">
        <f t="shared" ref="V125" si="86">U125*1.12</f>
        <v>0</v>
      </c>
      <c r="W125" s="7" t="s">
        <v>49</v>
      </c>
      <c r="X125" s="91" t="s">
        <v>33</v>
      </c>
      <c r="Y125" s="15">
        <v>7.9</v>
      </c>
      <c r="AA125" s="136"/>
    </row>
    <row r="126" spans="1:27" s="92" customFormat="1" ht="89.25" outlineLevel="1" x14ac:dyDescent="0.3">
      <c r="A126" s="15" t="s">
        <v>309</v>
      </c>
      <c r="B126" s="14" t="s">
        <v>26</v>
      </c>
      <c r="C126" s="1" t="s">
        <v>86</v>
      </c>
      <c r="D126" s="1" t="s">
        <v>87</v>
      </c>
      <c r="E126" s="2" t="s">
        <v>88</v>
      </c>
      <c r="F126" s="3" t="s">
        <v>161</v>
      </c>
      <c r="G126" s="15" t="s">
        <v>282</v>
      </c>
      <c r="H126" s="4">
        <v>0.5</v>
      </c>
      <c r="I126" s="2" t="s">
        <v>325</v>
      </c>
      <c r="J126" s="1" t="s">
        <v>156</v>
      </c>
      <c r="K126" s="7" t="s">
        <v>46</v>
      </c>
      <c r="L126" s="7" t="s">
        <v>47</v>
      </c>
      <c r="M126" s="8" t="s">
        <v>76</v>
      </c>
      <c r="N126" s="90">
        <v>0</v>
      </c>
      <c r="O126" s="9">
        <v>376</v>
      </c>
      <c r="P126" s="9">
        <v>376</v>
      </c>
      <c r="Q126" s="9">
        <v>376</v>
      </c>
      <c r="R126" s="9">
        <v>376</v>
      </c>
      <c r="S126" s="9">
        <v>0</v>
      </c>
      <c r="T126" s="10">
        <v>457.33</v>
      </c>
      <c r="U126" s="9">
        <v>0</v>
      </c>
      <c r="V126" s="9">
        <f t="shared" ref="V126" si="87">U126*1.12</f>
        <v>0</v>
      </c>
      <c r="W126" s="7" t="s">
        <v>49</v>
      </c>
      <c r="X126" s="91" t="s">
        <v>33</v>
      </c>
      <c r="Y126" s="15" t="s">
        <v>253</v>
      </c>
      <c r="AA126" s="136"/>
    </row>
    <row r="127" spans="1:27" s="92" customFormat="1" ht="89.25" outlineLevel="1" x14ac:dyDescent="0.3">
      <c r="A127" s="15" t="s">
        <v>162</v>
      </c>
      <c r="B127" s="14" t="s">
        <v>26</v>
      </c>
      <c r="C127" s="1" t="s">
        <v>163</v>
      </c>
      <c r="D127" s="1" t="s">
        <v>104</v>
      </c>
      <c r="E127" s="2" t="s">
        <v>164</v>
      </c>
      <c r="F127" s="3"/>
      <c r="G127" s="15" t="s">
        <v>43</v>
      </c>
      <c r="H127" s="4">
        <v>0.5</v>
      </c>
      <c r="I127" s="2" t="s">
        <v>44</v>
      </c>
      <c r="J127" s="1" t="s">
        <v>156</v>
      </c>
      <c r="K127" s="7" t="s">
        <v>46</v>
      </c>
      <c r="L127" s="7" t="s">
        <v>47</v>
      </c>
      <c r="M127" s="8" t="s">
        <v>107</v>
      </c>
      <c r="N127" s="90">
        <v>0</v>
      </c>
      <c r="O127" s="9">
        <v>3577</v>
      </c>
      <c r="P127" s="9">
        <v>3577</v>
      </c>
      <c r="Q127" s="9">
        <v>3577</v>
      </c>
      <c r="R127" s="9">
        <v>3577</v>
      </c>
      <c r="S127" s="9">
        <v>0</v>
      </c>
      <c r="T127" s="10">
        <v>40.22</v>
      </c>
      <c r="U127" s="9">
        <v>0</v>
      </c>
      <c r="V127" s="9">
        <f t="shared" si="2"/>
        <v>0</v>
      </c>
      <c r="W127" s="7" t="s">
        <v>49</v>
      </c>
      <c r="X127" s="91" t="s">
        <v>33</v>
      </c>
      <c r="Y127" s="15">
        <v>9</v>
      </c>
      <c r="AA127" s="136"/>
    </row>
    <row r="128" spans="1:27" s="92" customFormat="1" ht="89.25" outlineLevel="1" x14ac:dyDescent="0.3">
      <c r="A128" s="15" t="s">
        <v>259</v>
      </c>
      <c r="B128" s="14" t="s">
        <v>26</v>
      </c>
      <c r="C128" s="1" t="s">
        <v>163</v>
      </c>
      <c r="D128" s="1" t="s">
        <v>104</v>
      </c>
      <c r="E128" s="2" t="s">
        <v>164</v>
      </c>
      <c r="F128" s="3"/>
      <c r="G128" s="15" t="s">
        <v>43</v>
      </c>
      <c r="H128" s="4">
        <v>0.5</v>
      </c>
      <c r="I128" s="2" t="s">
        <v>229</v>
      </c>
      <c r="J128" s="1" t="s">
        <v>156</v>
      </c>
      <c r="K128" s="7" t="s">
        <v>46</v>
      </c>
      <c r="L128" s="7" t="s">
        <v>47</v>
      </c>
      <c r="M128" s="8" t="s">
        <v>107</v>
      </c>
      <c r="N128" s="90">
        <v>0</v>
      </c>
      <c r="O128" s="9">
        <v>3577</v>
      </c>
      <c r="P128" s="9">
        <v>3577</v>
      </c>
      <c r="Q128" s="9">
        <v>3577</v>
      </c>
      <c r="R128" s="9">
        <v>3577</v>
      </c>
      <c r="S128" s="9">
        <v>0</v>
      </c>
      <c r="T128" s="10">
        <v>40.22</v>
      </c>
      <c r="U128" s="9">
        <v>0</v>
      </c>
      <c r="V128" s="9">
        <f t="shared" ref="V128" si="88">U128*1.12</f>
        <v>0</v>
      </c>
      <c r="W128" s="7" t="s">
        <v>49</v>
      </c>
      <c r="X128" s="91" t="s">
        <v>33</v>
      </c>
      <c r="Y128" s="15" t="s">
        <v>283</v>
      </c>
      <c r="AA128" s="136"/>
    </row>
    <row r="129" spans="1:27" s="92" customFormat="1" ht="89.25" outlineLevel="1" x14ac:dyDescent="0.3">
      <c r="A129" s="15" t="s">
        <v>310</v>
      </c>
      <c r="B129" s="14" t="s">
        <v>26</v>
      </c>
      <c r="C129" s="1" t="s">
        <v>163</v>
      </c>
      <c r="D129" s="1" t="s">
        <v>104</v>
      </c>
      <c r="E129" s="2" t="s">
        <v>164</v>
      </c>
      <c r="F129" s="3"/>
      <c r="G129" s="15" t="s">
        <v>282</v>
      </c>
      <c r="H129" s="4">
        <v>0.5</v>
      </c>
      <c r="I129" s="2" t="s">
        <v>325</v>
      </c>
      <c r="J129" s="1" t="s">
        <v>156</v>
      </c>
      <c r="K129" s="7" t="s">
        <v>46</v>
      </c>
      <c r="L129" s="7" t="s">
        <v>47</v>
      </c>
      <c r="M129" s="8" t="s">
        <v>107</v>
      </c>
      <c r="N129" s="90">
        <v>0</v>
      </c>
      <c r="O129" s="9">
        <f>3577-1788</f>
        <v>1789</v>
      </c>
      <c r="P129" s="9">
        <v>3577</v>
      </c>
      <c r="Q129" s="9">
        <v>3577</v>
      </c>
      <c r="R129" s="9">
        <v>3577</v>
      </c>
      <c r="S129" s="9">
        <v>0</v>
      </c>
      <c r="T129" s="10">
        <v>40.22</v>
      </c>
      <c r="U129" s="9">
        <v>0</v>
      </c>
      <c r="V129" s="9">
        <f t="shared" ref="V129" si="89">U129*1.12</f>
        <v>0</v>
      </c>
      <c r="W129" s="7" t="s">
        <v>49</v>
      </c>
      <c r="X129" s="91" t="s">
        <v>33</v>
      </c>
      <c r="Y129" s="15" t="s">
        <v>253</v>
      </c>
      <c r="AA129" s="136"/>
    </row>
    <row r="130" spans="1:27" s="92" customFormat="1" ht="89.25" outlineLevel="1" x14ac:dyDescent="0.3">
      <c r="A130" s="15" t="s">
        <v>165</v>
      </c>
      <c r="B130" s="14" t="s">
        <v>26</v>
      </c>
      <c r="C130" s="1" t="s">
        <v>109</v>
      </c>
      <c r="D130" s="1" t="s">
        <v>104</v>
      </c>
      <c r="E130" s="2" t="s">
        <v>110</v>
      </c>
      <c r="F130" s="3" t="s">
        <v>166</v>
      </c>
      <c r="G130" s="15" t="s">
        <v>43</v>
      </c>
      <c r="H130" s="4">
        <v>0.5</v>
      </c>
      <c r="I130" s="2" t="s">
        <v>44</v>
      </c>
      <c r="J130" s="1" t="s">
        <v>156</v>
      </c>
      <c r="K130" s="7" t="s">
        <v>46</v>
      </c>
      <c r="L130" s="7" t="s">
        <v>47</v>
      </c>
      <c r="M130" s="8" t="s">
        <v>107</v>
      </c>
      <c r="N130" s="90">
        <v>0</v>
      </c>
      <c r="O130" s="9">
        <v>1697</v>
      </c>
      <c r="P130" s="9">
        <v>1697</v>
      </c>
      <c r="Q130" s="9">
        <v>1697</v>
      </c>
      <c r="R130" s="9">
        <v>1697</v>
      </c>
      <c r="S130" s="9">
        <v>0</v>
      </c>
      <c r="T130" s="10">
        <v>49.56</v>
      </c>
      <c r="U130" s="9">
        <v>0</v>
      </c>
      <c r="V130" s="9">
        <f t="shared" si="2"/>
        <v>0</v>
      </c>
      <c r="W130" s="7" t="s">
        <v>49</v>
      </c>
      <c r="X130" s="91" t="s">
        <v>33</v>
      </c>
      <c r="Y130" s="15">
        <v>9</v>
      </c>
      <c r="AA130" s="136"/>
    </row>
    <row r="131" spans="1:27" s="92" customFormat="1" ht="89.25" outlineLevel="1" x14ac:dyDescent="0.3">
      <c r="A131" s="15" t="s">
        <v>260</v>
      </c>
      <c r="B131" s="14" t="s">
        <v>26</v>
      </c>
      <c r="C131" s="1" t="s">
        <v>109</v>
      </c>
      <c r="D131" s="1" t="s">
        <v>104</v>
      </c>
      <c r="E131" s="2" t="s">
        <v>110</v>
      </c>
      <c r="F131" s="3" t="s">
        <v>166</v>
      </c>
      <c r="G131" s="15" t="s">
        <v>43</v>
      </c>
      <c r="H131" s="4">
        <v>0.5</v>
      </c>
      <c r="I131" s="2" t="s">
        <v>229</v>
      </c>
      <c r="J131" s="1" t="s">
        <v>156</v>
      </c>
      <c r="K131" s="7" t="s">
        <v>46</v>
      </c>
      <c r="L131" s="7" t="s">
        <v>47</v>
      </c>
      <c r="M131" s="8" t="s">
        <v>107</v>
      </c>
      <c r="N131" s="90">
        <v>0</v>
      </c>
      <c r="O131" s="9">
        <v>1697</v>
      </c>
      <c r="P131" s="9">
        <v>1697</v>
      </c>
      <c r="Q131" s="9">
        <v>1697</v>
      </c>
      <c r="R131" s="9">
        <v>1697</v>
      </c>
      <c r="S131" s="9">
        <v>0</v>
      </c>
      <c r="T131" s="10">
        <v>49.56</v>
      </c>
      <c r="U131" s="9">
        <v>0</v>
      </c>
      <c r="V131" s="9">
        <f t="shared" ref="V131" si="90">U131*1.12</f>
        <v>0</v>
      </c>
      <c r="W131" s="7" t="s">
        <v>49</v>
      </c>
      <c r="X131" s="91" t="s">
        <v>33</v>
      </c>
      <c r="Y131" s="15" t="s">
        <v>283</v>
      </c>
      <c r="AA131" s="136"/>
    </row>
    <row r="132" spans="1:27" s="92" customFormat="1" ht="89.25" outlineLevel="1" x14ac:dyDescent="0.3">
      <c r="A132" s="15" t="s">
        <v>311</v>
      </c>
      <c r="B132" s="14" t="s">
        <v>26</v>
      </c>
      <c r="C132" s="1" t="s">
        <v>109</v>
      </c>
      <c r="D132" s="1" t="s">
        <v>104</v>
      </c>
      <c r="E132" s="2" t="s">
        <v>110</v>
      </c>
      <c r="F132" s="3" t="s">
        <v>166</v>
      </c>
      <c r="G132" s="15" t="s">
        <v>282</v>
      </c>
      <c r="H132" s="4">
        <v>0.5</v>
      </c>
      <c r="I132" s="2" t="s">
        <v>325</v>
      </c>
      <c r="J132" s="1" t="s">
        <v>156</v>
      </c>
      <c r="K132" s="7" t="s">
        <v>46</v>
      </c>
      <c r="L132" s="7" t="s">
        <v>47</v>
      </c>
      <c r="M132" s="8" t="s">
        <v>107</v>
      </c>
      <c r="N132" s="90">
        <v>0</v>
      </c>
      <c r="O132" s="9">
        <f>1697-848</f>
        <v>849</v>
      </c>
      <c r="P132" s="9">
        <v>1697</v>
      </c>
      <c r="Q132" s="9">
        <v>1697</v>
      </c>
      <c r="R132" s="9">
        <v>1697</v>
      </c>
      <c r="S132" s="9">
        <v>0</v>
      </c>
      <c r="T132" s="10">
        <v>49.56</v>
      </c>
      <c r="U132" s="9">
        <v>0</v>
      </c>
      <c r="V132" s="9">
        <f t="shared" ref="V132" si="91">U132*1.12</f>
        <v>0</v>
      </c>
      <c r="W132" s="7" t="s">
        <v>49</v>
      </c>
      <c r="X132" s="91" t="s">
        <v>33</v>
      </c>
      <c r="Y132" s="15" t="s">
        <v>253</v>
      </c>
      <c r="AA132" s="136"/>
    </row>
    <row r="133" spans="1:27" s="92" customFormat="1" ht="89.25" outlineLevel="1" x14ac:dyDescent="0.3">
      <c r="A133" s="15" t="s">
        <v>167</v>
      </c>
      <c r="B133" s="14" t="s">
        <v>26</v>
      </c>
      <c r="C133" s="1" t="s">
        <v>118</v>
      </c>
      <c r="D133" s="1" t="s">
        <v>119</v>
      </c>
      <c r="E133" s="2" t="s">
        <v>120</v>
      </c>
      <c r="F133" s="3" t="s">
        <v>168</v>
      </c>
      <c r="G133" s="15" t="s">
        <v>43</v>
      </c>
      <c r="H133" s="4">
        <v>0.5</v>
      </c>
      <c r="I133" s="2" t="s">
        <v>44</v>
      </c>
      <c r="J133" s="1" t="s">
        <v>156</v>
      </c>
      <c r="K133" s="7" t="s">
        <v>46</v>
      </c>
      <c r="L133" s="7" t="s">
        <v>47</v>
      </c>
      <c r="M133" s="8" t="s">
        <v>122</v>
      </c>
      <c r="N133" s="90">
        <v>0</v>
      </c>
      <c r="O133" s="9">
        <v>1610</v>
      </c>
      <c r="P133" s="9">
        <v>1610</v>
      </c>
      <c r="Q133" s="9">
        <v>1610</v>
      </c>
      <c r="R133" s="9">
        <v>1610</v>
      </c>
      <c r="S133" s="9">
        <v>0</v>
      </c>
      <c r="T133" s="10">
        <v>68.89</v>
      </c>
      <c r="U133" s="9">
        <v>0</v>
      </c>
      <c r="V133" s="9">
        <f t="shared" si="2"/>
        <v>0</v>
      </c>
      <c r="W133" s="7" t="s">
        <v>49</v>
      </c>
      <c r="X133" s="91" t="s">
        <v>33</v>
      </c>
      <c r="Y133" s="15">
        <v>9</v>
      </c>
      <c r="AA133" s="136"/>
    </row>
    <row r="134" spans="1:27" s="92" customFormat="1" ht="89.25" outlineLevel="1" x14ac:dyDescent="0.3">
      <c r="A134" s="15" t="s">
        <v>261</v>
      </c>
      <c r="B134" s="14" t="s">
        <v>26</v>
      </c>
      <c r="C134" s="1" t="s">
        <v>118</v>
      </c>
      <c r="D134" s="1" t="s">
        <v>119</v>
      </c>
      <c r="E134" s="2" t="s">
        <v>120</v>
      </c>
      <c r="F134" s="3" t="s">
        <v>168</v>
      </c>
      <c r="G134" s="15" t="s">
        <v>43</v>
      </c>
      <c r="H134" s="4">
        <v>0.5</v>
      </c>
      <c r="I134" s="2" t="s">
        <v>229</v>
      </c>
      <c r="J134" s="1" t="s">
        <v>156</v>
      </c>
      <c r="K134" s="7" t="s">
        <v>46</v>
      </c>
      <c r="L134" s="7" t="s">
        <v>47</v>
      </c>
      <c r="M134" s="8" t="s">
        <v>122</v>
      </c>
      <c r="N134" s="90">
        <v>0</v>
      </c>
      <c r="O134" s="9">
        <v>1610</v>
      </c>
      <c r="P134" s="9">
        <v>1610</v>
      </c>
      <c r="Q134" s="9">
        <v>1610</v>
      </c>
      <c r="R134" s="9">
        <v>1610</v>
      </c>
      <c r="S134" s="9">
        <v>0</v>
      </c>
      <c r="T134" s="10">
        <v>68.89</v>
      </c>
      <c r="U134" s="9">
        <v>0</v>
      </c>
      <c r="V134" s="9">
        <f t="shared" ref="V134" si="92">U134*1.12</f>
        <v>0</v>
      </c>
      <c r="W134" s="7" t="s">
        <v>49</v>
      </c>
      <c r="X134" s="91" t="s">
        <v>33</v>
      </c>
      <c r="Y134" s="15" t="s">
        <v>283</v>
      </c>
      <c r="AA134" s="136"/>
    </row>
    <row r="135" spans="1:27" s="92" customFormat="1" ht="89.25" outlineLevel="1" x14ac:dyDescent="0.3">
      <c r="A135" s="15" t="s">
        <v>312</v>
      </c>
      <c r="B135" s="14" t="s">
        <v>26</v>
      </c>
      <c r="C135" s="1" t="s">
        <v>118</v>
      </c>
      <c r="D135" s="1" t="s">
        <v>119</v>
      </c>
      <c r="E135" s="2" t="s">
        <v>120</v>
      </c>
      <c r="F135" s="3" t="s">
        <v>168</v>
      </c>
      <c r="G135" s="15" t="s">
        <v>282</v>
      </c>
      <c r="H135" s="4">
        <v>0.5</v>
      </c>
      <c r="I135" s="2" t="s">
        <v>325</v>
      </c>
      <c r="J135" s="1" t="s">
        <v>156</v>
      </c>
      <c r="K135" s="7" t="s">
        <v>46</v>
      </c>
      <c r="L135" s="7" t="s">
        <v>47</v>
      </c>
      <c r="M135" s="8" t="s">
        <v>122</v>
      </c>
      <c r="N135" s="90">
        <v>0</v>
      </c>
      <c r="O135" s="9">
        <f>1610-805</f>
        <v>805</v>
      </c>
      <c r="P135" s="9">
        <v>1610</v>
      </c>
      <c r="Q135" s="9">
        <v>1610</v>
      </c>
      <c r="R135" s="9">
        <v>1610</v>
      </c>
      <c r="S135" s="9">
        <v>0</v>
      </c>
      <c r="T135" s="10">
        <v>68.89</v>
      </c>
      <c r="U135" s="9">
        <v>0</v>
      </c>
      <c r="V135" s="9">
        <f t="shared" ref="V135" si="93">U135*1.12</f>
        <v>0</v>
      </c>
      <c r="W135" s="7" t="s">
        <v>49</v>
      </c>
      <c r="X135" s="91" t="s">
        <v>33</v>
      </c>
      <c r="Y135" s="15" t="s">
        <v>253</v>
      </c>
      <c r="AA135" s="136"/>
    </row>
    <row r="136" spans="1:27" s="92" customFormat="1" ht="102" outlineLevel="1" x14ac:dyDescent="0.3">
      <c r="A136" s="15" t="s">
        <v>169</v>
      </c>
      <c r="B136" s="14" t="s">
        <v>26</v>
      </c>
      <c r="C136" s="3" t="s">
        <v>170</v>
      </c>
      <c r="D136" s="3" t="s">
        <v>147</v>
      </c>
      <c r="E136" s="3" t="s">
        <v>171</v>
      </c>
      <c r="F136" s="3" t="s">
        <v>172</v>
      </c>
      <c r="G136" s="15" t="s">
        <v>43</v>
      </c>
      <c r="H136" s="4">
        <v>0.5</v>
      </c>
      <c r="I136" s="2" t="s">
        <v>44</v>
      </c>
      <c r="J136" s="1" t="s">
        <v>156</v>
      </c>
      <c r="K136" s="7" t="s">
        <v>46</v>
      </c>
      <c r="L136" s="7" t="s">
        <v>47</v>
      </c>
      <c r="M136" s="8" t="s">
        <v>76</v>
      </c>
      <c r="N136" s="90">
        <v>0</v>
      </c>
      <c r="O136" s="9">
        <v>50</v>
      </c>
      <c r="P136" s="9">
        <v>50</v>
      </c>
      <c r="Q136" s="9">
        <v>50</v>
      </c>
      <c r="R136" s="9">
        <v>50</v>
      </c>
      <c r="S136" s="9">
        <v>0</v>
      </c>
      <c r="T136" s="10">
        <v>107.02</v>
      </c>
      <c r="U136" s="9">
        <v>0</v>
      </c>
      <c r="V136" s="9">
        <f t="shared" si="2"/>
        <v>0</v>
      </c>
      <c r="W136" s="7" t="s">
        <v>49</v>
      </c>
      <c r="X136" s="91" t="s">
        <v>33</v>
      </c>
      <c r="Y136" s="15" t="s">
        <v>253</v>
      </c>
      <c r="AA136" s="136"/>
    </row>
    <row r="137" spans="1:27" s="92" customFormat="1" ht="89.25" outlineLevel="1" x14ac:dyDescent="0.3">
      <c r="A137" s="15" t="s">
        <v>173</v>
      </c>
      <c r="B137" s="14" t="s">
        <v>26</v>
      </c>
      <c r="C137" s="1" t="s">
        <v>133</v>
      </c>
      <c r="D137" s="1" t="s">
        <v>134</v>
      </c>
      <c r="E137" s="2" t="s">
        <v>135</v>
      </c>
      <c r="F137" s="3" t="s">
        <v>138</v>
      </c>
      <c r="G137" s="15" t="s">
        <v>43</v>
      </c>
      <c r="H137" s="4">
        <v>0.5</v>
      </c>
      <c r="I137" s="2" t="s">
        <v>44</v>
      </c>
      <c r="J137" s="1" t="s">
        <v>156</v>
      </c>
      <c r="K137" s="7" t="s">
        <v>46</v>
      </c>
      <c r="L137" s="7" t="s">
        <v>47</v>
      </c>
      <c r="M137" s="8" t="s">
        <v>76</v>
      </c>
      <c r="N137" s="90">
        <v>0</v>
      </c>
      <c r="O137" s="9">
        <v>483</v>
      </c>
      <c r="P137" s="9">
        <v>483</v>
      </c>
      <c r="Q137" s="9">
        <v>483</v>
      </c>
      <c r="R137" s="9">
        <v>483</v>
      </c>
      <c r="S137" s="9">
        <v>0</v>
      </c>
      <c r="T137" s="10">
        <v>201.63</v>
      </c>
      <c r="U137" s="9">
        <v>0</v>
      </c>
      <c r="V137" s="9">
        <f t="shared" si="2"/>
        <v>0</v>
      </c>
      <c r="W137" s="7" t="s">
        <v>49</v>
      </c>
      <c r="X137" s="91" t="s">
        <v>33</v>
      </c>
      <c r="Y137" s="15">
        <v>9</v>
      </c>
      <c r="AA137" s="136"/>
    </row>
    <row r="138" spans="1:27" s="92" customFormat="1" ht="89.25" outlineLevel="1" x14ac:dyDescent="0.3">
      <c r="A138" s="15" t="s">
        <v>262</v>
      </c>
      <c r="B138" s="14" t="s">
        <v>26</v>
      </c>
      <c r="C138" s="1" t="s">
        <v>133</v>
      </c>
      <c r="D138" s="1" t="s">
        <v>134</v>
      </c>
      <c r="E138" s="2" t="s">
        <v>135</v>
      </c>
      <c r="F138" s="3" t="s">
        <v>138</v>
      </c>
      <c r="G138" s="15" t="s">
        <v>43</v>
      </c>
      <c r="H138" s="4">
        <v>0.5</v>
      </c>
      <c r="I138" s="2" t="s">
        <v>229</v>
      </c>
      <c r="J138" s="1" t="s">
        <v>156</v>
      </c>
      <c r="K138" s="7" t="s">
        <v>46</v>
      </c>
      <c r="L138" s="7" t="s">
        <v>47</v>
      </c>
      <c r="M138" s="8" t="s">
        <v>76</v>
      </c>
      <c r="N138" s="90">
        <v>0</v>
      </c>
      <c r="O138" s="9">
        <v>483</v>
      </c>
      <c r="P138" s="9">
        <v>483</v>
      </c>
      <c r="Q138" s="9">
        <v>483</v>
      </c>
      <c r="R138" s="9">
        <v>483</v>
      </c>
      <c r="S138" s="9">
        <v>0</v>
      </c>
      <c r="T138" s="10">
        <v>201.63</v>
      </c>
      <c r="U138" s="9">
        <v>0</v>
      </c>
      <c r="V138" s="9">
        <f t="shared" ref="V138" si="94">U138*1.12</f>
        <v>0</v>
      </c>
      <c r="W138" s="7" t="s">
        <v>49</v>
      </c>
      <c r="X138" s="91" t="s">
        <v>33</v>
      </c>
      <c r="Y138" s="15" t="s">
        <v>283</v>
      </c>
      <c r="AA138" s="136"/>
    </row>
    <row r="139" spans="1:27" s="92" customFormat="1" ht="89.25" outlineLevel="1" x14ac:dyDescent="0.3">
      <c r="A139" s="15" t="s">
        <v>313</v>
      </c>
      <c r="B139" s="14" t="s">
        <v>26</v>
      </c>
      <c r="C139" s="1" t="s">
        <v>133</v>
      </c>
      <c r="D139" s="1" t="s">
        <v>134</v>
      </c>
      <c r="E139" s="2" t="s">
        <v>135</v>
      </c>
      <c r="F139" s="3" t="s">
        <v>138</v>
      </c>
      <c r="G139" s="15" t="s">
        <v>282</v>
      </c>
      <c r="H139" s="4">
        <v>0.5</v>
      </c>
      <c r="I139" s="2" t="s">
        <v>325</v>
      </c>
      <c r="J139" s="1" t="s">
        <v>156</v>
      </c>
      <c r="K139" s="7" t="s">
        <v>46</v>
      </c>
      <c r="L139" s="7" t="s">
        <v>47</v>
      </c>
      <c r="M139" s="8" t="s">
        <v>76</v>
      </c>
      <c r="N139" s="90">
        <v>0</v>
      </c>
      <c r="O139" s="9">
        <f>483-241</f>
        <v>242</v>
      </c>
      <c r="P139" s="9">
        <v>483</v>
      </c>
      <c r="Q139" s="9">
        <v>483</v>
      </c>
      <c r="R139" s="9">
        <v>483</v>
      </c>
      <c r="S139" s="9">
        <v>0</v>
      </c>
      <c r="T139" s="10">
        <v>201.63</v>
      </c>
      <c r="U139" s="9">
        <v>0</v>
      </c>
      <c r="V139" s="9">
        <f t="shared" ref="V139" si="95">U139*1.12</f>
        <v>0</v>
      </c>
      <c r="W139" s="7" t="s">
        <v>49</v>
      </c>
      <c r="X139" s="91" t="s">
        <v>33</v>
      </c>
      <c r="Y139" s="15" t="s">
        <v>253</v>
      </c>
      <c r="AA139" s="136"/>
    </row>
    <row r="140" spans="1:27" s="92" customFormat="1" ht="89.25" outlineLevel="1" x14ac:dyDescent="0.3">
      <c r="A140" s="15" t="s">
        <v>174</v>
      </c>
      <c r="B140" s="14" t="s">
        <v>26</v>
      </c>
      <c r="C140" s="1" t="s">
        <v>151</v>
      </c>
      <c r="D140" s="1" t="s">
        <v>152</v>
      </c>
      <c r="E140" s="2" t="s">
        <v>153</v>
      </c>
      <c r="F140" s="3"/>
      <c r="G140" s="15" t="s">
        <v>43</v>
      </c>
      <c r="H140" s="4">
        <v>0.5</v>
      </c>
      <c r="I140" s="2" t="s">
        <v>44</v>
      </c>
      <c r="J140" s="1" t="s">
        <v>156</v>
      </c>
      <c r="K140" s="7" t="s">
        <v>46</v>
      </c>
      <c r="L140" s="7" t="s">
        <v>47</v>
      </c>
      <c r="M140" s="8" t="s">
        <v>76</v>
      </c>
      <c r="N140" s="90">
        <v>0</v>
      </c>
      <c r="O140" s="9">
        <v>10</v>
      </c>
      <c r="P140" s="9">
        <v>10</v>
      </c>
      <c r="Q140" s="9">
        <v>10</v>
      </c>
      <c r="R140" s="9">
        <v>10</v>
      </c>
      <c r="S140" s="9">
        <v>0</v>
      </c>
      <c r="T140" s="10">
        <v>128</v>
      </c>
      <c r="U140" s="9">
        <v>0</v>
      </c>
      <c r="V140" s="9">
        <f t="shared" si="2"/>
        <v>0</v>
      </c>
      <c r="W140" s="7" t="s">
        <v>49</v>
      </c>
      <c r="X140" s="91" t="s">
        <v>33</v>
      </c>
      <c r="Y140" s="15" t="s">
        <v>253</v>
      </c>
      <c r="AA140" s="136"/>
    </row>
    <row r="141" spans="1:27" s="92" customFormat="1" ht="89.25" outlineLevel="1" x14ac:dyDescent="0.3">
      <c r="A141" s="15" t="s">
        <v>175</v>
      </c>
      <c r="B141" s="16" t="s">
        <v>26</v>
      </c>
      <c r="C141" s="1" t="s">
        <v>113</v>
      </c>
      <c r="D141" s="1" t="s">
        <v>114</v>
      </c>
      <c r="E141" s="2" t="s">
        <v>115</v>
      </c>
      <c r="F141" s="3" t="s">
        <v>130</v>
      </c>
      <c r="G141" s="15" t="s">
        <v>43</v>
      </c>
      <c r="H141" s="4">
        <v>0.5</v>
      </c>
      <c r="I141" s="2" t="s">
        <v>44</v>
      </c>
      <c r="J141" s="1" t="s">
        <v>156</v>
      </c>
      <c r="K141" s="7" t="s">
        <v>46</v>
      </c>
      <c r="L141" s="7" t="s">
        <v>47</v>
      </c>
      <c r="M141" s="8" t="s">
        <v>131</v>
      </c>
      <c r="N141" s="90">
        <v>0</v>
      </c>
      <c r="O141" s="10">
        <v>787</v>
      </c>
      <c r="P141" s="10">
        <v>787</v>
      </c>
      <c r="Q141" s="10">
        <v>787</v>
      </c>
      <c r="R141" s="10">
        <v>787</v>
      </c>
      <c r="S141" s="9">
        <v>0</v>
      </c>
      <c r="T141" s="10">
        <v>314.19</v>
      </c>
      <c r="U141" s="9">
        <v>0</v>
      </c>
      <c r="V141" s="9">
        <f t="shared" si="2"/>
        <v>0</v>
      </c>
      <c r="W141" s="7" t="s">
        <v>49</v>
      </c>
      <c r="X141" s="91" t="s">
        <v>33</v>
      </c>
      <c r="Y141" s="15" t="s">
        <v>231</v>
      </c>
      <c r="AA141" s="136"/>
    </row>
    <row r="142" spans="1:27" s="92" customFormat="1" ht="89.25" outlineLevel="1" x14ac:dyDescent="0.3">
      <c r="A142" s="15" t="s">
        <v>263</v>
      </c>
      <c r="B142" s="16" t="s">
        <v>26</v>
      </c>
      <c r="C142" s="1" t="s">
        <v>113</v>
      </c>
      <c r="D142" s="1" t="s">
        <v>114</v>
      </c>
      <c r="E142" s="2" t="s">
        <v>115</v>
      </c>
      <c r="F142" s="3" t="s">
        <v>130</v>
      </c>
      <c r="G142" s="15" t="s">
        <v>43</v>
      </c>
      <c r="H142" s="4">
        <v>0.5</v>
      </c>
      <c r="I142" s="2" t="s">
        <v>229</v>
      </c>
      <c r="J142" s="1" t="s">
        <v>156</v>
      </c>
      <c r="K142" s="7" t="s">
        <v>46</v>
      </c>
      <c r="L142" s="7" t="s">
        <v>47</v>
      </c>
      <c r="M142" s="8" t="s">
        <v>131</v>
      </c>
      <c r="N142" s="90">
        <v>0</v>
      </c>
      <c r="O142" s="10">
        <v>787</v>
      </c>
      <c r="P142" s="10">
        <v>787</v>
      </c>
      <c r="Q142" s="10">
        <v>787</v>
      </c>
      <c r="R142" s="10">
        <v>787</v>
      </c>
      <c r="S142" s="9">
        <v>0</v>
      </c>
      <c r="T142" s="10">
        <v>264</v>
      </c>
      <c r="U142" s="9">
        <v>0</v>
      </c>
      <c r="V142" s="9">
        <f t="shared" ref="V142" si="96">U142*1.12</f>
        <v>0</v>
      </c>
      <c r="W142" s="7" t="s">
        <v>49</v>
      </c>
      <c r="X142" s="91" t="s">
        <v>33</v>
      </c>
      <c r="Y142" s="15" t="s">
        <v>283</v>
      </c>
      <c r="AA142" s="136"/>
    </row>
    <row r="143" spans="1:27" s="92" customFormat="1" ht="89.25" outlineLevel="1" x14ac:dyDescent="0.3">
      <c r="A143" s="15" t="s">
        <v>314</v>
      </c>
      <c r="B143" s="16" t="s">
        <v>26</v>
      </c>
      <c r="C143" s="1" t="s">
        <v>113</v>
      </c>
      <c r="D143" s="1" t="s">
        <v>114</v>
      </c>
      <c r="E143" s="2" t="s">
        <v>115</v>
      </c>
      <c r="F143" s="3" t="s">
        <v>130</v>
      </c>
      <c r="G143" s="15" t="s">
        <v>282</v>
      </c>
      <c r="H143" s="4">
        <v>0.5</v>
      </c>
      <c r="I143" s="2" t="s">
        <v>325</v>
      </c>
      <c r="J143" s="1" t="s">
        <v>156</v>
      </c>
      <c r="K143" s="7" t="s">
        <v>46</v>
      </c>
      <c r="L143" s="7" t="s">
        <v>47</v>
      </c>
      <c r="M143" s="8" t="s">
        <v>131</v>
      </c>
      <c r="N143" s="90">
        <v>0</v>
      </c>
      <c r="O143" s="10">
        <f>787-393</f>
        <v>394</v>
      </c>
      <c r="P143" s="10">
        <v>787</v>
      </c>
      <c r="Q143" s="10">
        <v>787</v>
      </c>
      <c r="R143" s="10">
        <v>787</v>
      </c>
      <c r="S143" s="9">
        <v>0</v>
      </c>
      <c r="T143" s="10">
        <v>264</v>
      </c>
      <c r="U143" s="9">
        <v>0</v>
      </c>
      <c r="V143" s="9">
        <f t="shared" ref="V143" si="97">U143*1.12</f>
        <v>0</v>
      </c>
      <c r="W143" s="7" t="s">
        <v>49</v>
      </c>
      <c r="X143" s="91" t="s">
        <v>33</v>
      </c>
      <c r="Y143" s="15" t="s">
        <v>253</v>
      </c>
      <c r="AA143" s="136"/>
    </row>
    <row r="144" spans="1:27" s="98" customFormat="1" x14ac:dyDescent="0.3">
      <c r="A144" s="94" t="s">
        <v>176</v>
      </c>
      <c r="B144" s="95"/>
      <c r="C144" s="96"/>
      <c r="D144" s="8"/>
      <c r="E144" s="8"/>
      <c r="F144" s="15"/>
      <c r="G144" s="15"/>
      <c r="H144" s="15"/>
      <c r="I144" s="2"/>
      <c r="J144" s="15"/>
      <c r="K144" s="15"/>
      <c r="L144" s="15"/>
      <c r="M144" s="15"/>
      <c r="N144" s="128"/>
      <c r="O144" s="128"/>
      <c r="P144" s="128"/>
      <c r="Q144" s="128"/>
      <c r="R144" s="128" t="s">
        <v>177</v>
      </c>
      <c r="S144" s="128" t="s">
        <v>177</v>
      </c>
      <c r="T144" s="128"/>
      <c r="U144" s="129">
        <f>SUM(U30:U143)</f>
        <v>136963160.18000001</v>
      </c>
      <c r="V144" s="133">
        <f>SUM(V30:V143)</f>
        <v>153398739.4016</v>
      </c>
      <c r="W144" s="91"/>
      <c r="X144" s="91"/>
      <c r="Y144" s="97"/>
      <c r="AA144" s="136"/>
    </row>
    <row r="145" spans="1:27" s="102" customFormat="1" x14ac:dyDescent="0.3">
      <c r="A145" s="99" t="s">
        <v>390</v>
      </c>
      <c r="B145" s="100"/>
      <c r="C145" s="100"/>
      <c r="D145" s="100"/>
      <c r="E145" s="100"/>
      <c r="F145" s="100"/>
      <c r="G145" s="100"/>
      <c r="H145" s="100"/>
      <c r="I145" s="100"/>
      <c r="J145" s="100"/>
      <c r="K145" s="100"/>
      <c r="L145" s="100"/>
      <c r="M145" s="100"/>
      <c r="N145" s="130"/>
      <c r="O145" s="130"/>
      <c r="P145" s="130"/>
      <c r="Q145" s="130"/>
      <c r="R145" s="130"/>
      <c r="S145" s="130"/>
      <c r="T145" s="130"/>
      <c r="U145" s="130"/>
      <c r="V145" s="130"/>
      <c r="W145" s="100"/>
      <c r="X145" s="101"/>
      <c r="Y145" s="101"/>
      <c r="AA145" s="136"/>
    </row>
    <row r="146" spans="1:27" s="108" customFormat="1" ht="51" outlineLevel="1" x14ac:dyDescent="0.3">
      <c r="A146" s="15" t="s">
        <v>393</v>
      </c>
      <c r="B146" s="14" t="s">
        <v>26</v>
      </c>
      <c r="C146" s="8" t="s">
        <v>394</v>
      </c>
      <c r="D146" s="8" t="s">
        <v>395</v>
      </c>
      <c r="E146" s="8" t="s">
        <v>395</v>
      </c>
      <c r="F146" s="8" t="s">
        <v>396</v>
      </c>
      <c r="G146" s="15" t="s">
        <v>43</v>
      </c>
      <c r="H146" s="4">
        <v>1</v>
      </c>
      <c r="I146" s="2" t="s">
        <v>331</v>
      </c>
      <c r="J146" s="1" t="s">
        <v>23</v>
      </c>
      <c r="K146" s="7"/>
      <c r="L146" s="7" t="s">
        <v>391</v>
      </c>
      <c r="M146" s="8" t="s">
        <v>392</v>
      </c>
      <c r="N146" s="90">
        <v>0</v>
      </c>
      <c r="O146" s="90">
        <v>0</v>
      </c>
      <c r="P146" s="90">
        <v>23187918</v>
      </c>
      <c r="Q146" s="90">
        <v>23187918</v>
      </c>
      <c r="R146" s="90">
        <v>23187918</v>
      </c>
      <c r="S146" s="90">
        <v>0</v>
      </c>
      <c r="T146" s="90">
        <v>0</v>
      </c>
      <c r="U146" s="9">
        <v>0</v>
      </c>
      <c r="V146" s="103">
        <f t="shared" ref="V146:V151" si="98">U146*1.12</f>
        <v>0</v>
      </c>
      <c r="W146" s="7" t="s">
        <v>35</v>
      </c>
      <c r="X146" s="91" t="s">
        <v>33</v>
      </c>
      <c r="Y146" s="8" t="s">
        <v>430</v>
      </c>
      <c r="AA146" s="136"/>
    </row>
    <row r="147" spans="1:27" s="108" customFormat="1" ht="51" outlineLevel="1" x14ac:dyDescent="0.2">
      <c r="A147" s="15" t="s">
        <v>431</v>
      </c>
      <c r="B147" s="14" t="s">
        <v>26</v>
      </c>
      <c r="C147" s="8" t="s">
        <v>394</v>
      </c>
      <c r="D147" s="8" t="s">
        <v>395</v>
      </c>
      <c r="E147" s="8" t="s">
        <v>395</v>
      </c>
      <c r="F147" s="8" t="s">
        <v>396</v>
      </c>
      <c r="G147" s="15" t="s">
        <v>43</v>
      </c>
      <c r="H147" s="4">
        <v>1</v>
      </c>
      <c r="I147" s="2" t="s">
        <v>432</v>
      </c>
      <c r="J147" s="1" t="s">
        <v>23</v>
      </c>
      <c r="K147" s="7"/>
      <c r="L147" s="7" t="s">
        <v>391</v>
      </c>
      <c r="M147" s="8" t="s">
        <v>392</v>
      </c>
      <c r="N147" s="131">
        <v>0</v>
      </c>
      <c r="O147" s="131">
        <v>0</v>
      </c>
      <c r="P147" s="131">
        <f>23187918+3450000</f>
        <v>26637918</v>
      </c>
      <c r="Q147" s="131">
        <v>23187918</v>
      </c>
      <c r="R147" s="131">
        <v>23187918</v>
      </c>
      <c r="S147" s="90">
        <v>0</v>
      </c>
      <c r="T147" s="90">
        <v>0</v>
      </c>
      <c r="U147" s="132">
        <f>O147+P147+Q147+R147+S147</f>
        <v>73013754</v>
      </c>
      <c r="V147" s="132">
        <f t="shared" si="98"/>
        <v>81775404.480000004</v>
      </c>
      <c r="W147" s="7" t="s">
        <v>35</v>
      </c>
      <c r="X147" s="91" t="s">
        <v>33</v>
      </c>
      <c r="Y147" s="89"/>
      <c r="AA147" s="136"/>
    </row>
    <row r="148" spans="1:27" s="108" customFormat="1" ht="51" outlineLevel="1" x14ac:dyDescent="0.3">
      <c r="A148" s="15" t="s">
        <v>397</v>
      </c>
      <c r="B148" s="14" t="s">
        <v>26</v>
      </c>
      <c r="C148" s="8" t="s">
        <v>394</v>
      </c>
      <c r="D148" s="8" t="s">
        <v>395</v>
      </c>
      <c r="E148" s="8" t="s">
        <v>395</v>
      </c>
      <c r="F148" s="8" t="s">
        <v>398</v>
      </c>
      <c r="G148" s="15" t="s">
        <v>43</v>
      </c>
      <c r="H148" s="4">
        <v>1</v>
      </c>
      <c r="I148" s="2" t="s">
        <v>331</v>
      </c>
      <c r="J148" s="1" t="s">
        <v>399</v>
      </c>
      <c r="K148" s="7"/>
      <c r="L148" s="7" t="s">
        <v>391</v>
      </c>
      <c r="M148" s="8" t="s">
        <v>392</v>
      </c>
      <c r="N148" s="90">
        <v>0</v>
      </c>
      <c r="O148" s="90">
        <v>0</v>
      </c>
      <c r="P148" s="90">
        <v>1996394</v>
      </c>
      <c r="Q148" s="90">
        <v>1996394</v>
      </c>
      <c r="R148" s="90">
        <v>1996394</v>
      </c>
      <c r="S148" s="90">
        <v>0</v>
      </c>
      <c r="T148" s="90">
        <v>0</v>
      </c>
      <c r="U148" s="9">
        <v>0</v>
      </c>
      <c r="V148" s="103">
        <f t="shared" si="98"/>
        <v>0</v>
      </c>
      <c r="W148" s="7" t="s">
        <v>35</v>
      </c>
      <c r="X148" s="91" t="s">
        <v>33</v>
      </c>
      <c r="Y148" s="8">
        <v>9</v>
      </c>
      <c r="AA148" s="136"/>
    </row>
    <row r="149" spans="1:27" s="108" customFormat="1" ht="51" outlineLevel="1" x14ac:dyDescent="0.2">
      <c r="A149" s="15" t="s">
        <v>433</v>
      </c>
      <c r="B149" s="14" t="s">
        <v>26</v>
      </c>
      <c r="C149" s="8" t="s">
        <v>394</v>
      </c>
      <c r="D149" s="8" t="s">
        <v>395</v>
      </c>
      <c r="E149" s="8" t="s">
        <v>395</v>
      </c>
      <c r="F149" s="8" t="s">
        <v>398</v>
      </c>
      <c r="G149" s="15" t="s">
        <v>43</v>
      </c>
      <c r="H149" s="4">
        <v>1</v>
      </c>
      <c r="I149" s="2" t="s">
        <v>434</v>
      </c>
      <c r="J149" s="1" t="s">
        <v>399</v>
      </c>
      <c r="K149" s="7"/>
      <c r="L149" s="7" t="s">
        <v>391</v>
      </c>
      <c r="M149" s="8" t="s">
        <v>392</v>
      </c>
      <c r="N149" s="131">
        <v>0</v>
      </c>
      <c r="O149" s="131">
        <v>0</v>
      </c>
      <c r="P149" s="131">
        <v>1996394</v>
      </c>
      <c r="Q149" s="131">
        <v>1996394</v>
      </c>
      <c r="R149" s="131">
        <v>1996394</v>
      </c>
      <c r="S149" s="90">
        <v>0</v>
      </c>
      <c r="T149" s="90">
        <v>0</v>
      </c>
      <c r="U149" s="132">
        <f>O149+P149+Q149+R149+S149</f>
        <v>5989182</v>
      </c>
      <c r="V149" s="132">
        <f t="shared" si="98"/>
        <v>6707883.8400000008</v>
      </c>
      <c r="W149" s="7" t="s">
        <v>35</v>
      </c>
      <c r="X149" s="91" t="s">
        <v>33</v>
      </c>
      <c r="Y149" s="89"/>
      <c r="AA149" s="136"/>
    </row>
    <row r="150" spans="1:27" s="108" customFormat="1" ht="51" outlineLevel="1" x14ac:dyDescent="0.3">
      <c r="A150" s="15" t="s">
        <v>400</v>
      </c>
      <c r="B150" s="14" t="s">
        <v>26</v>
      </c>
      <c r="C150" s="8" t="s">
        <v>394</v>
      </c>
      <c r="D150" s="8" t="s">
        <v>395</v>
      </c>
      <c r="E150" s="8" t="s">
        <v>395</v>
      </c>
      <c r="F150" s="8" t="s">
        <v>401</v>
      </c>
      <c r="G150" s="15" t="s">
        <v>43</v>
      </c>
      <c r="H150" s="4">
        <v>1</v>
      </c>
      <c r="I150" s="2" t="s">
        <v>331</v>
      </c>
      <c r="J150" s="1" t="s">
        <v>156</v>
      </c>
      <c r="K150" s="7"/>
      <c r="L150" s="7" t="s">
        <v>391</v>
      </c>
      <c r="M150" s="8" t="s">
        <v>392</v>
      </c>
      <c r="N150" s="90">
        <v>0</v>
      </c>
      <c r="O150" s="90">
        <v>0</v>
      </c>
      <c r="P150" s="90">
        <v>816000</v>
      </c>
      <c r="Q150" s="90">
        <v>816000</v>
      </c>
      <c r="R150" s="90">
        <v>816000</v>
      </c>
      <c r="S150" s="90">
        <v>0</v>
      </c>
      <c r="T150" s="90">
        <v>0</v>
      </c>
      <c r="U150" s="9">
        <v>0</v>
      </c>
      <c r="V150" s="103">
        <f t="shared" si="98"/>
        <v>0</v>
      </c>
      <c r="W150" s="7" t="s">
        <v>35</v>
      </c>
      <c r="X150" s="91" t="s">
        <v>33</v>
      </c>
      <c r="Y150" s="8">
        <v>9</v>
      </c>
      <c r="AA150" s="136"/>
    </row>
    <row r="151" spans="1:27" s="108" customFormat="1" ht="51" outlineLevel="1" x14ac:dyDescent="0.2">
      <c r="A151" s="15" t="s">
        <v>435</v>
      </c>
      <c r="B151" s="14" t="s">
        <v>26</v>
      </c>
      <c r="C151" s="8" t="s">
        <v>394</v>
      </c>
      <c r="D151" s="8" t="s">
        <v>395</v>
      </c>
      <c r="E151" s="8" t="s">
        <v>395</v>
      </c>
      <c r="F151" s="8" t="s">
        <v>401</v>
      </c>
      <c r="G151" s="15" t="s">
        <v>43</v>
      </c>
      <c r="H151" s="4">
        <v>1</v>
      </c>
      <c r="I151" s="2" t="s">
        <v>434</v>
      </c>
      <c r="J151" s="1" t="s">
        <v>156</v>
      </c>
      <c r="K151" s="7"/>
      <c r="L151" s="7" t="s">
        <v>391</v>
      </c>
      <c r="M151" s="8" t="s">
        <v>392</v>
      </c>
      <c r="N151" s="131">
        <v>0</v>
      </c>
      <c r="O151" s="131">
        <v>0</v>
      </c>
      <c r="P151" s="131">
        <v>816000</v>
      </c>
      <c r="Q151" s="131">
        <v>816000</v>
      </c>
      <c r="R151" s="131">
        <v>816000</v>
      </c>
      <c r="S151" s="90">
        <v>0</v>
      </c>
      <c r="T151" s="90">
        <v>0</v>
      </c>
      <c r="U151" s="132">
        <f>O151+P151+Q151+R151+S151</f>
        <v>2448000</v>
      </c>
      <c r="V151" s="132">
        <f t="shared" si="98"/>
        <v>2741760.0000000005</v>
      </c>
      <c r="W151" s="7" t="s">
        <v>35</v>
      </c>
      <c r="X151" s="91" t="s">
        <v>33</v>
      </c>
      <c r="Y151" s="89"/>
      <c r="AA151" s="136"/>
    </row>
    <row r="152" spans="1:27" s="98" customFormat="1" x14ac:dyDescent="0.3">
      <c r="A152" s="94" t="s">
        <v>181</v>
      </c>
      <c r="B152" s="95"/>
      <c r="C152" s="96"/>
      <c r="D152" s="8"/>
      <c r="E152" s="8"/>
      <c r="F152" s="15"/>
      <c r="G152" s="15"/>
      <c r="H152" s="15"/>
      <c r="I152" s="2"/>
      <c r="J152" s="15"/>
      <c r="K152" s="15"/>
      <c r="L152" s="15"/>
      <c r="M152" s="15"/>
      <c r="N152" s="128"/>
      <c r="O152" s="128"/>
      <c r="P152" s="128"/>
      <c r="Q152" s="128"/>
      <c r="R152" s="128" t="s">
        <v>177</v>
      </c>
      <c r="S152" s="128" t="s">
        <v>177</v>
      </c>
      <c r="T152" s="128"/>
      <c r="U152" s="129">
        <f>SUM(U146:U151)</f>
        <v>81450936</v>
      </c>
      <c r="V152" s="133">
        <f>SUM(V146:V151)</f>
        <v>91225048.320000008</v>
      </c>
      <c r="W152" s="91"/>
      <c r="X152" s="91"/>
      <c r="Y152" s="97"/>
      <c r="AA152" s="136"/>
    </row>
    <row r="153" spans="1:27" s="102" customFormat="1" x14ac:dyDescent="0.3">
      <c r="A153" s="99" t="s">
        <v>182</v>
      </c>
      <c r="B153" s="100"/>
      <c r="C153" s="100"/>
      <c r="D153" s="100"/>
      <c r="E153" s="100"/>
      <c r="F153" s="100"/>
      <c r="G153" s="100"/>
      <c r="H153" s="100"/>
      <c r="I153" s="100"/>
      <c r="J153" s="100"/>
      <c r="K153" s="100"/>
      <c r="L153" s="100"/>
      <c r="M153" s="100"/>
      <c r="N153" s="130"/>
      <c r="O153" s="130"/>
      <c r="P153" s="130"/>
      <c r="Q153" s="130"/>
      <c r="R153" s="130"/>
      <c r="S153" s="130"/>
      <c r="T153" s="130"/>
      <c r="U153" s="130"/>
      <c r="V153" s="130"/>
      <c r="W153" s="100"/>
      <c r="X153" s="101"/>
      <c r="Y153" s="101"/>
      <c r="AA153" s="136"/>
    </row>
    <row r="154" spans="1:27" s="92" customFormat="1" ht="51" outlineLevel="1" x14ac:dyDescent="0.3">
      <c r="A154" s="15" t="s">
        <v>22</v>
      </c>
      <c r="B154" s="16" t="s">
        <v>26</v>
      </c>
      <c r="C154" s="1" t="s">
        <v>27</v>
      </c>
      <c r="D154" s="1" t="s">
        <v>28</v>
      </c>
      <c r="E154" s="2" t="s">
        <v>29</v>
      </c>
      <c r="F154" s="3"/>
      <c r="G154" s="15" t="s">
        <v>21</v>
      </c>
      <c r="H154" s="4">
        <v>1</v>
      </c>
      <c r="I154" s="2" t="s">
        <v>30</v>
      </c>
      <c r="J154" s="1" t="s">
        <v>23</v>
      </c>
      <c r="K154" s="7"/>
      <c r="L154" s="7" t="s">
        <v>31</v>
      </c>
      <c r="M154" s="8" t="s">
        <v>25</v>
      </c>
      <c r="N154" s="131">
        <v>27857142.850000001</v>
      </c>
      <c r="O154" s="131">
        <v>27857142.850000001</v>
      </c>
      <c r="P154" s="131">
        <v>27857142.850000001</v>
      </c>
      <c r="Q154" s="131">
        <v>27857142.850000001</v>
      </c>
      <c r="R154" s="131">
        <v>27857142.850000001</v>
      </c>
      <c r="S154" s="90">
        <v>0</v>
      </c>
      <c r="T154" s="90">
        <v>0</v>
      </c>
      <c r="U154" s="9">
        <v>0</v>
      </c>
      <c r="V154" s="103">
        <f t="shared" ref="V154:V159" si="99">U154*1.12</f>
        <v>0</v>
      </c>
      <c r="W154" s="7" t="s">
        <v>35</v>
      </c>
      <c r="X154" s="91" t="s">
        <v>32</v>
      </c>
      <c r="Y154" s="8" t="s">
        <v>272</v>
      </c>
      <c r="AA154" s="136"/>
    </row>
    <row r="155" spans="1:27" s="92" customFormat="1" ht="51" outlineLevel="1" x14ac:dyDescent="0.2">
      <c r="A155" s="15" t="s">
        <v>271</v>
      </c>
      <c r="B155" s="16" t="s">
        <v>26</v>
      </c>
      <c r="C155" s="1" t="s">
        <v>27</v>
      </c>
      <c r="D155" s="1" t="s">
        <v>28</v>
      </c>
      <c r="E155" s="2" t="s">
        <v>29</v>
      </c>
      <c r="F155" s="3"/>
      <c r="G155" s="15" t="s">
        <v>21</v>
      </c>
      <c r="H155" s="4">
        <v>1</v>
      </c>
      <c r="I155" s="2" t="s">
        <v>30</v>
      </c>
      <c r="J155" s="1" t="s">
        <v>23</v>
      </c>
      <c r="K155" s="7"/>
      <c r="L155" s="7" t="s">
        <v>31</v>
      </c>
      <c r="M155" s="8" t="s">
        <v>25</v>
      </c>
      <c r="N155" s="131">
        <v>20532143</v>
      </c>
      <c r="O155" s="131">
        <v>12950000</v>
      </c>
      <c r="P155" s="131">
        <v>0</v>
      </c>
      <c r="Q155" s="131">
        <v>0</v>
      </c>
      <c r="R155" s="131">
        <v>0</v>
      </c>
      <c r="S155" s="90">
        <v>0</v>
      </c>
      <c r="T155" s="90">
        <v>0</v>
      </c>
      <c r="U155" s="132">
        <f>N155+O155+P155+Q155+R155+S155</f>
        <v>33482143</v>
      </c>
      <c r="V155" s="132">
        <f t="shared" si="99"/>
        <v>37500000.160000004</v>
      </c>
      <c r="W155" s="7" t="s">
        <v>35</v>
      </c>
      <c r="X155" s="91" t="s">
        <v>32</v>
      </c>
      <c r="Y155" s="89"/>
      <c r="AA155" s="136"/>
    </row>
    <row r="156" spans="1:27" s="92" customFormat="1" ht="51" outlineLevel="1" x14ac:dyDescent="0.2">
      <c r="A156" s="15" t="s">
        <v>265</v>
      </c>
      <c r="B156" s="16" t="s">
        <v>26</v>
      </c>
      <c r="C156" s="8" t="s">
        <v>266</v>
      </c>
      <c r="D156" s="8" t="s">
        <v>267</v>
      </c>
      <c r="E156" s="8" t="s">
        <v>268</v>
      </c>
      <c r="F156" s="8" t="s">
        <v>269</v>
      </c>
      <c r="G156" s="15" t="s">
        <v>21</v>
      </c>
      <c r="H156" s="4">
        <v>0.5</v>
      </c>
      <c r="I156" s="2" t="s">
        <v>270</v>
      </c>
      <c r="J156" s="1" t="s">
        <v>23</v>
      </c>
      <c r="K156" s="7"/>
      <c r="L156" s="7" t="s">
        <v>31</v>
      </c>
      <c r="M156" s="8" t="s">
        <v>25</v>
      </c>
      <c r="N156" s="131">
        <v>0</v>
      </c>
      <c r="O156" s="131">
        <v>25000000</v>
      </c>
      <c r="P156" s="131">
        <v>25000000</v>
      </c>
      <c r="Q156" s="131">
        <v>25000000</v>
      </c>
      <c r="R156" s="131">
        <v>0</v>
      </c>
      <c r="S156" s="90">
        <v>0</v>
      </c>
      <c r="T156" s="90">
        <v>0</v>
      </c>
      <c r="U156" s="132">
        <f>N156+O156+P156+Q156+R156+S156</f>
        <v>75000000</v>
      </c>
      <c r="V156" s="132">
        <f t="shared" si="99"/>
        <v>84000000.000000015</v>
      </c>
      <c r="W156" s="7" t="s">
        <v>35</v>
      </c>
      <c r="X156" s="91" t="s">
        <v>33</v>
      </c>
      <c r="Y156" s="89"/>
      <c r="AA156" s="136"/>
    </row>
    <row r="157" spans="1:27" s="92" customFormat="1" ht="51" outlineLevel="1" x14ac:dyDescent="0.3">
      <c r="A157" s="15" t="s">
        <v>273</v>
      </c>
      <c r="B157" s="16" t="s">
        <v>26</v>
      </c>
      <c r="C157" s="2" t="s">
        <v>274</v>
      </c>
      <c r="D157" s="2" t="s">
        <v>275</v>
      </c>
      <c r="E157" s="2" t="s">
        <v>275</v>
      </c>
      <c r="F157" s="8" t="s">
        <v>276</v>
      </c>
      <c r="G157" s="15" t="s">
        <v>21</v>
      </c>
      <c r="H157" s="4">
        <v>0.5</v>
      </c>
      <c r="I157" s="2" t="s">
        <v>270</v>
      </c>
      <c r="J157" s="1" t="s">
        <v>23</v>
      </c>
      <c r="K157" s="7"/>
      <c r="L157" s="7" t="s">
        <v>31</v>
      </c>
      <c r="M157" s="8" t="s">
        <v>25</v>
      </c>
      <c r="N157" s="90">
        <v>0</v>
      </c>
      <c r="O157" s="90">
        <v>0</v>
      </c>
      <c r="P157" s="90">
        <v>0</v>
      </c>
      <c r="Q157" s="90">
        <v>0</v>
      </c>
      <c r="R157" s="90">
        <v>0</v>
      </c>
      <c r="S157" s="90">
        <v>0</v>
      </c>
      <c r="T157" s="90">
        <v>0</v>
      </c>
      <c r="U157" s="9">
        <f>N157+O157+P157+Q157+S157</f>
        <v>0</v>
      </c>
      <c r="V157" s="103">
        <f t="shared" si="99"/>
        <v>0</v>
      </c>
      <c r="W157" s="7" t="s">
        <v>35</v>
      </c>
      <c r="X157" s="91" t="s">
        <v>33</v>
      </c>
      <c r="Y157" s="8" t="s">
        <v>253</v>
      </c>
      <c r="AA157" s="136"/>
    </row>
    <row r="158" spans="1:27" s="92" customFormat="1" ht="89.25" outlineLevel="1" x14ac:dyDescent="0.2">
      <c r="A158" s="15" t="s">
        <v>317</v>
      </c>
      <c r="B158" s="14" t="s">
        <v>26</v>
      </c>
      <c r="C158" s="16" t="s">
        <v>316</v>
      </c>
      <c r="D158" s="2" t="s">
        <v>318</v>
      </c>
      <c r="E158" s="2" t="s">
        <v>319</v>
      </c>
      <c r="F158" s="8" t="s">
        <v>322</v>
      </c>
      <c r="G158" s="15" t="s">
        <v>43</v>
      </c>
      <c r="H158" s="4">
        <v>0.5</v>
      </c>
      <c r="I158" s="2" t="s">
        <v>321</v>
      </c>
      <c r="J158" s="1" t="s">
        <v>23</v>
      </c>
      <c r="K158" s="7"/>
      <c r="L158" s="7" t="s">
        <v>31</v>
      </c>
      <c r="M158" s="8" t="s">
        <v>25</v>
      </c>
      <c r="N158" s="131"/>
      <c r="O158" s="131">
        <v>6500000</v>
      </c>
      <c r="P158" s="131">
        <v>15600000</v>
      </c>
      <c r="Q158" s="131">
        <v>15600000</v>
      </c>
      <c r="R158" s="131">
        <v>15600000</v>
      </c>
      <c r="S158" s="90">
        <v>0</v>
      </c>
      <c r="T158" s="90">
        <v>0</v>
      </c>
      <c r="U158" s="132">
        <f t="shared" ref="U158:U167" si="100">N158+O158+P158+Q158+R158+S158</f>
        <v>53300000</v>
      </c>
      <c r="V158" s="132">
        <f t="shared" si="99"/>
        <v>59696000.000000007</v>
      </c>
      <c r="W158" s="7" t="s">
        <v>35</v>
      </c>
      <c r="X158" s="91" t="s">
        <v>33</v>
      </c>
      <c r="Y158" s="89"/>
      <c r="AA158" s="136"/>
    </row>
    <row r="159" spans="1:27" s="92" customFormat="1" ht="89.25" outlineLevel="1" x14ac:dyDescent="0.2">
      <c r="A159" s="15" t="s">
        <v>323</v>
      </c>
      <c r="B159" s="14" t="s">
        <v>26</v>
      </c>
      <c r="C159" s="16" t="s">
        <v>316</v>
      </c>
      <c r="D159" s="2" t="s">
        <v>318</v>
      </c>
      <c r="E159" s="2" t="s">
        <v>319</v>
      </c>
      <c r="F159" s="8" t="s">
        <v>320</v>
      </c>
      <c r="G159" s="15" t="s">
        <v>43</v>
      </c>
      <c r="H159" s="4">
        <v>0.5</v>
      </c>
      <c r="I159" s="2" t="s">
        <v>321</v>
      </c>
      <c r="J159" s="1" t="s">
        <v>23</v>
      </c>
      <c r="K159" s="7"/>
      <c r="L159" s="7" t="s">
        <v>31</v>
      </c>
      <c r="M159" s="8" t="s">
        <v>25</v>
      </c>
      <c r="N159" s="131"/>
      <c r="O159" s="131">
        <v>2750000</v>
      </c>
      <c r="P159" s="131">
        <v>6600000</v>
      </c>
      <c r="Q159" s="131">
        <v>6600000</v>
      </c>
      <c r="R159" s="131">
        <v>6600000</v>
      </c>
      <c r="S159" s="90">
        <v>0</v>
      </c>
      <c r="T159" s="90">
        <v>0</v>
      </c>
      <c r="U159" s="132">
        <f t="shared" si="100"/>
        <v>22550000</v>
      </c>
      <c r="V159" s="132">
        <f t="shared" si="99"/>
        <v>25256000.000000004</v>
      </c>
      <c r="W159" s="7" t="s">
        <v>35</v>
      </c>
      <c r="X159" s="91" t="s">
        <v>33</v>
      </c>
      <c r="Y159" s="89"/>
      <c r="AA159" s="136"/>
    </row>
    <row r="160" spans="1:27" s="108" customFormat="1" ht="76.5" outlineLevel="1" x14ac:dyDescent="0.2">
      <c r="A160" s="15" t="s">
        <v>327</v>
      </c>
      <c r="B160" s="14" t="s">
        <v>26</v>
      </c>
      <c r="C160" s="2" t="s">
        <v>328</v>
      </c>
      <c r="D160" s="2" t="s">
        <v>329</v>
      </c>
      <c r="E160" s="2" t="s">
        <v>329</v>
      </c>
      <c r="F160" s="8" t="s">
        <v>330</v>
      </c>
      <c r="G160" s="15" t="s">
        <v>21</v>
      </c>
      <c r="H160" s="4">
        <v>1</v>
      </c>
      <c r="I160" s="2" t="s">
        <v>331</v>
      </c>
      <c r="J160" s="1" t="s">
        <v>23</v>
      </c>
      <c r="K160" s="7"/>
      <c r="L160" s="7" t="s">
        <v>31</v>
      </c>
      <c r="M160" s="8" t="s">
        <v>25</v>
      </c>
      <c r="N160" s="131">
        <v>0</v>
      </c>
      <c r="O160" s="131">
        <v>0</v>
      </c>
      <c r="P160" s="131">
        <f>67622000+29695000</f>
        <v>97317000</v>
      </c>
      <c r="Q160" s="131">
        <f>P160*1.07</f>
        <v>104129190</v>
      </c>
      <c r="R160" s="131">
        <f>Q160*1.06</f>
        <v>110376941.40000001</v>
      </c>
      <c r="S160" s="90">
        <v>0</v>
      </c>
      <c r="T160" s="90">
        <v>0</v>
      </c>
      <c r="U160" s="132">
        <f t="shared" si="100"/>
        <v>311823131.39999998</v>
      </c>
      <c r="V160" s="132">
        <f t="shared" ref="V160" si="101">U160*1.12</f>
        <v>349241907.16799998</v>
      </c>
      <c r="W160" s="7" t="s">
        <v>35</v>
      </c>
      <c r="X160" s="91" t="s">
        <v>33</v>
      </c>
      <c r="Y160" s="89"/>
      <c r="AA160" s="136"/>
    </row>
    <row r="161" spans="1:27" s="108" customFormat="1" ht="102" outlineLevel="1" x14ac:dyDescent="0.2">
      <c r="A161" s="15" t="s">
        <v>333</v>
      </c>
      <c r="B161" s="14" t="s">
        <v>26</v>
      </c>
      <c r="C161" s="2" t="s">
        <v>328</v>
      </c>
      <c r="D161" s="2" t="s">
        <v>329</v>
      </c>
      <c r="E161" s="2" t="s">
        <v>329</v>
      </c>
      <c r="F161" s="8" t="s">
        <v>332</v>
      </c>
      <c r="G161" s="15" t="s">
        <v>21</v>
      </c>
      <c r="H161" s="4">
        <v>1</v>
      </c>
      <c r="I161" s="2" t="s">
        <v>331</v>
      </c>
      <c r="J161" s="1" t="s">
        <v>156</v>
      </c>
      <c r="K161" s="7"/>
      <c r="L161" s="7" t="s">
        <v>31</v>
      </c>
      <c r="M161" s="8" t="s">
        <v>25</v>
      </c>
      <c r="N161" s="131">
        <v>0</v>
      </c>
      <c r="O161" s="131">
        <v>0</v>
      </c>
      <c r="P161" s="131">
        <v>2129359</v>
      </c>
      <c r="Q161" s="131">
        <f t="shared" ref="Q161:Q163" si="102">P161*1.07</f>
        <v>2278414.1300000004</v>
      </c>
      <c r="R161" s="131">
        <f>Q161*1.06</f>
        <v>2415118.9778000005</v>
      </c>
      <c r="S161" s="90">
        <v>0</v>
      </c>
      <c r="T161" s="90">
        <v>0</v>
      </c>
      <c r="U161" s="132">
        <f t="shared" si="100"/>
        <v>6822892.1078000013</v>
      </c>
      <c r="V161" s="132">
        <f t="shared" ref="V161" si="103">U161*1.12</f>
        <v>7641639.160736002</v>
      </c>
      <c r="W161" s="7" t="s">
        <v>35</v>
      </c>
      <c r="X161" s="91" t="s">
        <v>33</v>
      </c>
      <c r="Y161" s="89"/>
      <c r="AA161" s="136"/>
    </row>
    <row r="162" spans="1:27" s="108" customFormat="1" ht="114.75" outlineLevel="1" x14ac:dyDescent="0.2">
      <c r="A162" s="15" t="s">
        <v>334</v>
      </c>
      <c r="B162" s="14" t="s">
        <v>26</v>
      </c>
      <c r="C162" s="2" t="s">
        <v>335</v>
      </c>
      <c r="D162" s="2" t="s">
        <v>336</v>
      </c>
      <c r="E162" s="2" t="s">
        <v>337</v>
      </c>
      <c r="F162" s="8" t="s">
        <v>338</v>
      </c>
      <c r="G162" s="15" t="s">
        <v>21</v>
      </c>
      <c r="H162" s="4">
        <v>1</v>
      </c>
      <c r="I162" s="2" t="s">
        <v>331</v>
      </c>
      <c r="J162" s="1" t="s">
        <v>23</v>
      </c>
      <c r="K162" s="7"/>
      <c r="L162" s="7" t="s">
        <v>31</v>
      </c>
      <c r="M162" s="8" t="s">
        <v>25</v>
      </c>
      <c r="N162" s="131">
        <v>0</v>
      </c>
      <c r="O162" s="131">
        <v>0</v>
      </c>
      <c r="P162" s="131">
        <v>132750000</v>
      </c>
      <c r="Q162" s="131">
        <f t="shared" si="102"/>
        <v>142042500</v>
      </c>
      <c r="R162" s="131">
        <f>Q162*1.06</f>
        <v>150565050</v>
      </c>
      <c r="S162" s="90">
        <v>0</v>
      </c>
      <c r="T162" s="90">
        <v>0</v>
      </c>
      <c r="U162" s="132">
        <f t="shared" si="100"/>
        <v>425357550</v>
      </c>
      <c r="V162" s="132">
        <f t="shared" ref="V162" si="104">U162*1.12</f>
        <v>476400456.00000006</v>
      </c>
      <c r="W162" s="7" t="s">
        <v>35</v>
      </c>
      <c r="X162" s="91" t="s">
        <v>33</v>
      </c>
      <c r="Y162" s="89"/>
      <c r="AA162" s="136"/>
    </row>
    <row r="163" spans="1:27" s="108" customFormat="1" ht="114.75" outlineLevel="1" x14ac:dyDescent="0.3">
      <c r="A163" s="15" t="s">
        <v>339</v>
      </c>
      <c r="B163" s="14" t="s">
        <v>26</v>
      </c>
      <c r="C163" s="2" t="s">
        <v>335</v>
      </c>
      <c r="D163" s="2" t="s">
        <v>336</v>
      </c>
      <c r="E163" s="2" t="s">
        <v>337</v>
      </c>
      <c r="F163" s="8" t="s">
        <v>340</v>
      </c>
      <c r="G163" s="15" t="s">
        <v>21</v>
      </c>
      <c r="H163" s="4">
        <v>1</v>
      </c>
      <c r="I163" s="2" t="s">
        <v>331</v>
      </c>
      <c r="J163" s="1" t="s">
        <v>156</v>
      </c>
      <c r="K163" s="7"/>
      <c r="L163" s="7" t="s">
        <v>31</v>
      </c>
      <c r="M163" s="8" t="s">
        <v>25</v>
      </c>
      <c r="N163" s="90">
        <v>0</v>
      </c>
      <c r="O163" s="90">
        <v>0</v>
      </c>
      <c r="P163" s="90">
        <v>15687583</v>
      </c>
      <c r="Q163" s="90">
        <f t="shared" si="102"/>
        <v>16785713.810000002</v>
      </c>
      <c r="R163" s="90">
        <f>P163*1.06</f>
        <v>16628837.98</v>
      </c>
      <c r="S163" s="90">
        <v>0</v>
      </c>
      <c r="T163" s="90">
        <v>0</v>
      </c>
      <c r="U163" s="9">
        <v>0</v>
      </c>
      <c r="V163" s="103">
        <f>U163*1.12</f>
        <v>0</v>
      </c>
      <c r="W163" s="7" t="s">
        <v>35</v>
      </c>
      <c r="X163" s="91" t="s">
        <v>33</v>
      </c>
      <c r="Y163" s="8" t="s">
        <v>415</v>
      </c>
      <c r="AA163" s="136"/>
    </row>
    <row r="164" spans="1:27" s="108" customFormat="1" ht="114.75" outlineLevel="1" x14ac:dyDescent="0.2">
      <c r="A164" s="15" t="s">
        <v>414</v>
      </c>
      <c r="B164" s="14" t="s">
        <v>26</v>
      </c>
      <c r="C164" s="2" t="s">
        <v>335</v>
      </c>
      <c r="D164" s="2" t="s">
        <v>336</v>
      </c>
      <c r="E164" s="2" t="s">
        <v>337</v>
      </c>
      <c r="F164" s="8" t="s">
        <v>340</v>
      </c>
      <c r="G164" s="15" t="s">
        <v>21</v>
      </c>
      <c r="H164" s="4">
        <v>1</v>
      </c>
      <c r="I164" s="2" t="s">
        <v>331</v>
      </c>
      <c r="J164" s="1" t="s">
        <v>156</v>
      </c>
      <c r="K164" s="7"/>
      <c r="L164" s="7" t="s">
        <v>31</v>
      </c>
      <c r="M164" s="8" t="s">
        <v>25</v>
      </c>
      <c r="N164" s="131">
        <v>0</v>
      </c>
      <c r="O164" s="131">
        <v>0</v>
      </c>
      <c r="P164" s="131">
        <v>15730562.880000001</v>
      </c>
      <c r="Q164" s="131">
        <v>16785561.600000001</v>
      </c>
      <c r="R164" s="131">
        <v>17792611.199999999</v>
      </c>
      <c r="S164" s="90">
        <v>0</v>
      </c>
      <c r="T164" s="90">
        <v>0</v>
      </c>
      <c r="U164" s="132">
        <f t="shared" si="100"/>
        <v>50308735.680000007</v>
      </c>
      <c r="V164" s="132">
        <f>U164*1.12</f>
        <v>56345783.961600013</v>
      </c>
      <c r="W164" s="7" t="s">
        <v>35</v>
      </c>
      <c r="X164" s="91" t="s">
        <v>33</v>
      </c>
      <c r="Y164" s="89"/>
      <c r="AA164" s="136"/>
    </row>
    <row r="165" spans="1:27" s="108" customFormat="1" ht="140.25" outlineLevel="1" x14ac:dyDescent="0.2">
      <c r="A165" s="15" t="s">
        <v>341</v>
      </c>
      <c r="B165" s="14" t="s">
        <v>26</v>
      </c>
      <c r="C165" s="8" t="s">
        <v>342</v>
      </c>
      <c r="D165" s="8" t="s">
        <v>343</v>
      </c>
      <c r="E165" s="8" t="s">
        <v>343</v>
      </c>
      <c r="F165" s="8" t="s">
        <v>344</v>
      </c>
      <c r="G165" s="15" t="s">
        <v>43</v>
      </c>
      <c r="H165" s="4">
        <v>1</v>
      </c>
      <c r="I165" s="2" t="s">
        <v>331</v>
      </c>
      <c r="J165" s="1" t="s">
        <v>23</v>
      </c>
      <c r="K165" s="7"/>
      <c r="L165" s="7" t="s">
        <v>31</v>
      </c>
      <c r="M165" s="8" t="s">
        <v>25</v>
      </c>
      <c r="N165" s="131">
        <v>0</v>
      </c>
      <c r="O165" s="131">
        <v>0</v>
      </c>
      <c r="P165" s="131">
        <v>35587400</v>
      </c>
      <c r="Q165" s="131">
        <v>35587400</v>
      </c>
      <c r="R165" s="131">
        <v>35587400</v>
      </c>
      <c r="S165" s="90">
        <v>0</v>
      </c>
      <c r="T165" s="90">
        <v>0</v>
      </c>
      <c r="U165" s="132">
        <f t="shared" si="100"/>
        <v>106762200</v>
      </c>
      <c r="V165" s="132">
        <f t="shared" ref="V165" si="105">U165*1.12</f>
        <v>119573664.00000001</v>
      </c>
      <c r="W165" s="7" t="s">
        <v>35</v>
      </c>
      <c r="X165" s="91" t="s">
        <v>33</v>
      </c>
      <c r="Y165" s="89"/>
      <c r="AA165" s="136"/>
    </row>
    <row r="166" spans="1:27" s="108" customFormat="1" ht="76.5" outlineLevel="1" x14ac:dyDescent="0.2">
      <c r="A166" s="15" t="s">
        <v>345</v>
      </c>
      <c r="B166" s="14" t="s">
        <v>26</v>
      </c>
      <c r="C166" s="8" t="s">
        <v>342</v>
      </c>
      <c r="D166" s="8" t="s">
        <v>343</v>
      </c>
      <c r="E166" s="8" t="s">
        <v>343</v>
      </c>
      <c r="F166" s="8" t="s">
        <v>346</v>
      </c>
      <c r="G166" s="15" t="s">
        <v>43</v>
      </c>
      <c r="H166" s="4">
        <v>1</v>
      </c>
      <c r="I166" s="2" t="s">
        <v>331</v>
      </c>
      <c r="J166" s="1" t="s">
        <v>156</v>
      </c>
      <c r="K166" s="7"/>
      <c r="L166" s="7" t="s">
        <v>31</v>
      </c>
      <c r="M166" s="8" t="s">
        <v>25</v>
      </c>
      <c r="N166" s="131">
        <v>0</v>
      </c>
      <c r="O166" s="131">
        <v>0</v>
      </c>
      <c r="P166" s="131">
        <v>919764</v>
      </c>
      <c r="Q166" s="131">
        <v>919764</v>
      </c>
      <c r="R166" s="131">
        <v>919764</v>
      </c>
      <c r="S166" s="90">
        <v>0</v>
      </c>
      <c r="T166" s="90">
        <v>0</v>
      </c>
      <c r="U166" s="132">
        <f t="shared" si="100"/>
        <v>2759292</v>
      </c>
      <c r="V166" s="132">
        <f t="shared" ref="V166:V169" si="106">U166*1.12</f>
        <v>3090407.0400000005</v>
      </c>
      <c r="W166" s="7" t="s">
        <v>35</v>
      </c>
      <c r="X166" s="91" t="s">
        <v>33</v>
      </c>
      <c r="Y166" s="89"/>
      <c r="AA166" s="136"/>
    </row>
    <row r="167" spans="1:27" s="108" customFormat="1" ht="178.5" outlineLevel="1" x14ac:dyDescent="0.2">
      <c r="A167" s="15" t="s">
        <v>347</v>
      </c>
      <c r="B167" s="14" t="s">
        <v>26</v>
      </c>
      <c r="C167" s="8" t="s">
        <v>348</v>
      </c>
      <c r="D167" s="8" t="s">
        <v>349</v>
      </c>
      <c r="E167" s="8" t="s">
        <v>349</v>
      </c>
      <c r="F167" s="8" t="s">
        <v>350</v>
      </c>
      <c r="G167" s="15" t="s">
        <v>43</v>
      </c>
      <c r="H167" s="4">
        <v>1</v>
      </c>
      <c r="I167" s="2" t="s">
        <v>331</v>
      </c>
      <c r="J167" s="1" t="s">
        <v>23</v>
      </c>
      <c r="K167" s="7"/>
      <c r="L167" s="7" t="s">
        <v>31</v>
      </c>
      <c r="M167" s="8" t="s">
        <v>25</v>
      </c>
      <c r="N167" s="131">
        <v>0</v>
      </c>
      <c r="O167" s="131">
        <v>0</v>
      </c>
      <c r="P167" s="131">
        <v>13922321</v>
      </c>
      <c r="Q167" s="131">
        <v>13922321</v>
      </c>
      <c r="R167" s="131">
        <v>13922321</v>
      </c>
      <c r="S167" s="90">
        <v>0</v>
      </c>
      <c r="T167" s="90">
        <v>0</v>
      </c>
      <c r="U167" s="132">
        <f t="shared" si="100"/>
        <v>41766963</v>
      </c>
      <c r="V167" s="132">
        <f t="shared" si="106"/>
        <v>46778998.560000002</v>
      </c>
      <c r="W167" s="7" t="s">
        <v>35</v>
      </c>
      <c r="X167" s="91" t="s">
        <v>33</v>
      </c>
      <c r="Y167" s="89"/>
      <c r="AA167" s="136"/>
    </row>
    <row r="168" spans="1:27" s="108" customFormat="1" ht="76.5" outlineLevel="1" x14ac:dyDescent="0.3">
      <c r="A168" s="15" t="s">
        <v>351</v>
      </c>
      <c r="B168" s="14" t="s">
        <v>26</v>
      </c>
      <c r="C168" s="8" t="s">
        <v>348</v>
      </c>
      <c r="D168" s="8" t="s">
        <v>349</v>
      </c>
      <c r="E168" s="8" t="s">
        <v>349</v>
      </c>
      <c r="F168" s="8" t="s">
        <v>352</v>
      </c>
      <c r="G168" s="15" t="s">
        <v>43</v>
      </c>
      <c r="H168" s="4">
        <v>1</v>
      </c>
      <c r="I168" s="2" t="s">
        <v>331</v>
      </c>
      <c r="J168" s="1" t="s">
        <v>156</v>
      </c>
      <c r="K168" s="7"/>
      <c r="L168" s="7" t="s">
        <v>31</v>
      </c>
      <c r="M168" s="8" t="s">
        <v>25</v>
      </c>
      <c r="N168" s="90">
        <v>0</v>
      </c>
      <c r="O168" s="90">
        <v>0</v>
      </c>
      <c r="P168" s="90">
        <v>701595</v>
      </c>
      <c r="Q168" s="90">
        <v>701595</v>
      </c>
      <c r="R168" s="90">
        <v>701595</v>
      </c>
      <c r="S168" s="90">
        <v>0</v>
      </c>
      <c r="T168" s="90">
        <v>0</v>
      </c>
      <c r="U168" s="9">
        <v>0</v>
      </c>
      <c r="V168" s="103">
        <f t="shared" si="106"/>
        <v>0</v>
      </c>
      <c r="W168" s="7" t="s">
        <v>35</v>
      </c>
      <c r="X168" s="91" t="s">
        <v>33</v>
      </c>
      <c r="Y168" s="8">
        <v>9</v>
      </c>
      <c r="AA168" s="136"/>
    </row>
    <row r="169" spans="1:27" s="108" customFormat="1" ht="76.5" outlineLevel="1" x14ac:dyDescent="0.3">
      <c r="A169" s="15" t="s">
        <v>436</v>
      </c>
      <c r="B169" s="14" t="s">
        <v>26</v>
      </c>
      <c r="C169" s="8" t="s">
        <v>348</v>
      </c>
      <c r="D169" s="8" t="s">
        <v>349</v>
      </c>
      <c r="E169" s="8" t="s">
        <v>349</v>
      </c>
      <c r="F169" s="8" t="s">
        <v>352</v>
      </c>
      <c r="G169" s="15" t="s">
        <v>43</v>
      </c>
      <c r="H169" s="4">
        <v>1</v>
      </c>
      <c r="I169" s="2" t="s">
        <v>434</v>
      </c>
      <c r="J169" s="1" t="s">
        <v>156</v>
      </c>
      <c r="K169" s="7"/>
      <c r="L169" s="7" t="s">
        <v>31</v>
      </c>
      <c r="M169" s="8" t="s">
        <v>25</v>
      </c>
      <c r="N169" s="90">
        <v>0</v>
      </c>
      <c r="O169" s="90">
        <v>0</v>
      </c>
      <c r="P169" s="90">
        <v>701595</v>
      </c>
      <c r="Q169" s="90">
        <v>701595</v>
      </c>
      <c r="R169" s="90">
        <v>701595</v>
      </c>
      <c r="S169" s="90">
        <v>0</v>
      </c>
      <c r="T169" s="90">
        <v>0</v>
      </c>
      <c r="U169" s="9">
        <v>0</v>
      </c>
      <c r="V169" s="103">
        <f t="shared" si="106"/>
        <v>0</v>
      </c>
      <c r="W169" s="7" t="s">
        <v>35</v>
      </c>
      <c r="X169" s="91" t="s">
        <v>33</v>
      </c>
      <c r="Y169" s="8" t="s">
        <v>253</v>
      </c>
      <c r="AA169" s="136"/>
    </row>
    <row r="170" spans="1:27" s="108" customFormat="1" ht="140.25" outlineLevel="1" x14ac:dyDescent="0.2">
      <c r="A170" s="15" t="s">
        <v>353</v>
      </c>
      <c r="B170" s="14" t="s">
        <v>26</v>
      </c>
      <c r="C170" s="8" t="s">
        <v>354</v>
      </c>
      <c r="D170" s="8" t="s">
        <v>355</v>
      </c>
      <c r="E170" s="8" t="s">
        <v>355</v>
      </c>
      <c r="F170" s="8" t="s">
        <v>356</v>
      </c>
      <c r="G170" s="15" t="s">
        <v>43</v>
      </c>
      <c r="H170" s="4">
        <v>1</v>
      </c>
      <c r="I170" s="2" t="s">
        <v>331</v>
      </c>
      <c r="J170" s="1" t="s">
        <v>23</v>
      </c>
      <c r="K170" s="7"/>
      <c r="L170" s="7" t="s">
        <v>31</v>
      </c>
      <c r="M170" s="8" t="s">
        <v>25</v>
      </c>
      <c r="N170" s="131">
        <v>0</v>
      </c>
      <c r="O170" s="131">
        <v>0</v>
      </c>
      <c r="P170" s="131">
        <v>51998000</v>
      </c>
      <c r="Q170" s="131">
        <v>51998000</v>
      </c>
      <c r="R170" s="131">
        <v>51998000</v>
      </c>
      <c r="S170" s="90">
        <v>0</v>
      </c>
      <c r="T170" s="90">
        <v>0</v>
      </c>
      <c r="U170" s="132">
        <f t="shared" ref="U170:U184" si="107">N170+O170+P170+Q170+R170+S170</f>
        <v>155994000</v>
      </c>
      <c r="V170" s="132">
        <f t="shared" ref="V170" si="108">U170*1.12</f>
        <v>174713280.00000003</v>
      </c>
      <c r="W170" s="7" t="s">
        <v>35</v>
      </c>
      <c r="X170" s="91" t="s">
        <v>33</v>
      </c>
      <c r="Y170" s="89"/>
      <c r="AA170" s="136"/>
    </row>
    <row r="171" spans="1:27" s="108" customFormat="1" ht="102" outlineLevel="1" x14ac:dyDescent="0.2">
      <c r="A171" s="15" t="s">
        <v>357</v>
      </c>
      <c r="B171" s="14" t="s">
        <v>26</v>
      </c>
      <c r="C171" s="8" t="s">
        <v>354</v>
      </c>
      <c r="D171" s="8" t="s">
        <v>355</v>
      </c>
      <c r="E171" s="8" t="s">
        <v>355</v>
      </c>
      <c r="F171" s="8" t="s">
        <v>358</v>
      </c>
      <c r="G171" s="15" t="s">
        <v>43</v>
      </c>
      <c r="H171" s="4">
        <v>1</v>
      </c>
      <c r="I171" s="2" t="s">
        <v>331</v>
      </c>
      <c r="J171" s="1" t="s">
        <v>156</v>
      </c>
      <c r="K171" s="7"/>
      <c r="L171" s="7" t="s">
        <v>31</v>
      </c>
      <c r="M171" s="8" t="s">
        <v>25</v>
      </c>
      <c r="N171" s="131">
        <v>0</v>
      </c>
      <c r="O171" s="131">
        <v>0</v>
      </c>
      <c r="P171" s="131">
        <v>592000</v>
      </c>
      <c r="Q171" s="131">
        <v>592000</v>
      </c>
      <c r="R171" s="131">
        <v>592000</v>
      </c>
      <c r="S171" s="90">
        <v>0</v>
      </c>
      <c r="T171" s="90">
        <v>0</v>
      </c>
      <c r="U171" s="132">
        <f t="shared" si="107"/>
        <v>1776000</v>
      </c>
      <c r="V171" s="132">
        <f t="shared" ref="V171:V173" si="109">U171*1.12</f>
        <v>1989120.0000000002</v>
      </c>
      <c r="W171" s="7" t="s">
        <v>35</v>
      </c>
      <c r="X171" s="91" t="s">
        <v>33</v>
      </c>
      <c r="Y171" s="89"/>
      <c r="AA171" s="136"/>
    </row>
    <row r="172" spans="1:27" s="108" customFormat="1" ht="191.25" outlineLevel="1" x14ac:dyDescent="0.3">
      <c r="A172" s="15" t="s">
        <v>359</v>
      </c>
      <c r="B172" s="14" t="s">
        <v>26</v>
      </c>
      <c r="C172" s="8" t="s">
        <v>360</v>
      </c>
      <c r="D172" s="8" t="s">
        <v>361</v>
      </c>
      <c r="E172" s="8" t="s">
        <v>361</v>
      </c>
      <c r="F172" s="8" t="s">
        <v>362</v>
      </c>
      <c r="G172" s="15" t="s">
        <v>43</v>
      </c>
      <c r="H172" s="4">
        <v>1</v>
      </c>
      <c r="I172" s="2" t="s">
        <v>331</v>
      </c>
      <c r="J172" s="1" t="s">
        <v>23</v>
      </c>
      <c r="K172" s="7"/>
      <c r="L172" s="7" t="s">
        <v>31</v>
      </c>
      <c r="M172" s="8" t="s">
        <v>25</v>
      </c>
      <c r="N172" s="90">
        <v>0</v>
      </c>
      <c r="O172" s="90">
        <v>0</v>
      </c>
      <c r="P172" s="90">
        <v>7194134</v>
      </c>
      <c r="Q172" s="90">
        <v>7194134</v>
      </c>
      <c r="R172" s="90">
        <v>7194134</v>
      </c>
      <c r="S172" s="90">
        <v>0</v>
      </c>
      <c r="T172" s="90">
        <v>0</v>
      </c>
      <c r="U172" s="9">
        <v>0</v>
      </c>
      <c r="V172" s="103">
        <f t="shared" si="109"/>
        <v>0</v>
      </c>
      <c r="W172" s="7" t="s">
        <v>35</v>
      </c>
      <c r="X172" s="91" t="s">
        <v>33</v>
      </c>
      <c r="Y172" s="8">
        <v>6</v>
      </c>
      <c r="AA172" s="136"/>
    </row>
    <row r="173" spans="1:27" s="108" customFormat="1" ht="204" outlineLevel="1" x14ac:dyDescent="0.2">
      <c r="A173" s="15" t="s">
        <v>416</v>
      </c>
      <c r="B173" s="14" t="s">
        <v>26</v>
      </c>
      <c r="C173" s="8" t="s">
        <v>360</v>
      </c>
      <c r="D173" s="8" t="s">
        <v>361</v>
      </c>
      <c r="E173" s="8" t="s">
        <v>361</v>
      </c>
      <c r="F173" s="8" t="s">
        <v>417</v>
      </c>
      <c r="G173" s="15" t="s">
        <v>43</v>
      </c>
      <c r="H173" s="4">
        <v>1</v>
      </c>
      <c r="I173" s="2" t="s">
        <v>331</v>
      </c>
      <c r="J173" s="1" t="s">
        <v>23</v>
      </c>
      <c r="K173" s="7"/>
      <c r="L173" s="7" t="s">
        <v>31</v>
      </c>
      <c r="M173" s="8" t="s">
        <v>25</v>
      </c>
      <c r="N173" s="131">
        <v>0</v>
      </c>
      <c r="O173" s="131">
        <v>0</v>
      </c>
      <c r="P173" s="131">
        <v>7194134</v>
      </c>
      <c r="Q173" s="131">
        <v>7194134</v>
      </c>
      <c r="R173" s="131">
        <v>7194134</v>
      </c>
      <c r="S173" s="90">
        <v>0</v>
      </c>
      <c r="T173" s="90">
        <v>0</v>
      </c>
      <c r="U173" s="132">
        <f t="shared" si="107"/>
        <v>21582402</v>
      </c>
      <c r="V173" s="132">
        <f t="shared" si="109"/>
        <v>24172290.240000002</v>
      </c>
      <c r="W173" s="7" t="s">
        <v>35</v>
      </c>
      <c r="X173" s="91" t="s">
        <v>33</v>
      </c>
      <c r="Y173" s="89"/>
      <c r="AA173" s="136"/>
    </row>
    <row r="174" spans="1:27" s="108" customFormat="1" ht="51" outlineLevel="1" x14ac:dyDescent="0.2">
      <c r="A174" s="15" t="s">
        <v>363</v>
      </c>
      <c r="B174" s="14" t="s">
        <v>26</v>
      </c>
      <c r="C174" s="8" t="s">
        <v>364</v>
      </c>
      <c r="D174" s="8" t="s">
        <v>365</v>
      </c>
      <c r="E174" s="8" t="s">
        <v>365</v>
      </c>
      <c r="F174" s="8" t="s">
        <v>366</v>
      </c>
      <c r="G174" s="15" t="s">
        <v>43</v>
      </c>
      <c r="H174" s="4">
        <v>1</v>
      </c>
      <c r="I174" s="2" t="s">
        <v>331</v>
      </c>
      <c r="J174" s="1" t="s">
        <v>23</v>
      </c>
      <c r="K174" s="7"/>
      <c r="L174" s="7" t="s">
        <v>31</v>
      </c>
      <c r="M174" s="8" t="s">
        <v>25</v>
      </c>
      <c r="N174" s="131">
        <v>0</v>
      </c>
      <c r="O174" s="131">
        <v>0</v>
      </c>
      <c r="P174" s="131">
        <v>20232848</v>
      </c>
      <c r="Q174" s="131">
        <v>20232848</v>
      </c>
      <c r="R174" s="131">
        <v>20232848</v>
      </c>
      <c r="S174" s="90">
        <v>0</v>
      </c>
      <c r="T174" s="90">
        <v>0</v>
      </c>
      <c r="U174" s="132">
        <f t="shared" si="107"/>
        <v>60698544</v>
      </c>
      <c r="V174" s="132">
        <f t="shared" ref="V174:V176" si="110">U174*1.12</f>
        <v>67982369.280000001</v>
      </c>
      <c r="W174" s="7" t="s">
        <v>35</v>
      </c>
      <c r="X174" s="91" t="s">
        <v>33</v>
      </c>
      <c r="Y174" s="89"/>
      <c r="AA174" s="136"/>
    </row>
    <row r="175" spans="1:27" s="92" customFormat="1" ht="89.25" outlineLevel="1" x14ac:dyDescent="0.3">
      <c r="A175" s="15" t="s">
        <v>367</v>
      </c>
      <c r="B175" s="14" t="s">
        <v>26</v>
      </c>
      <c r="C175" s="8" t="s">
        <v>368</v>
      </c>
      <c r="D175" s="8" t="s">
        <v>369</v>
      </c>
      <c r="E175" s="8" t="s">
        <v>369</v>
      </c>
      <c r="F175" s="8" t="s">
        <v>370</v>
      </c>
      <c r="G175" s="15" t="s">
        <v>43</v>
      </c>
      <c r="H175" s="4">
        <v>1</v>
      </c>
      <c r="I175" s="2" t="s">
        <v>331</v>
      </c>
      <c r="J175" s="1" t="s">
        <v>23</v>
      </c>
      <c r="K175" s="7"/>
      <c r="L175" s="7" t="s">
        <v>31</v>
      </c>
      <c r="M175" s="8" t="s">
        <v>25</v>
      </c>
      <c r="N175" s="90">
        <v>0</v>
      </c>
      <c r="O175" s="90">
        <v>0</v>
      </c>
      <c r="P175" s="90">
        <v>3495000</v>
      </c>
      <c r="Q175" s="90">
        <v>3495000</v>
      </c>
      <c r="R175" s="90">
        <v>3495000</v>
      </c>
      <c r="S175" s="90">
        <v>0</v>
      </c>
      <c r="T175" s="90">
        <v>0</v>
      </c>
      <c r="U175" s="9">
        <v>0</v>
      </c>
      <c r="V175" s="103">
        <f t="shared" si="110"/>
        <v>0</v>
      </c>
      <c r="W175" s="7" t="s">
        <v>35</v>
      </c>
      <c r="X175" s="91" t="s">
        <v>33</v>
      </c>
      <c r="Y175" s="8" t="s">
        <v>430</v>
      </c>
      <c r="AA175" s="136"/>
    </row>
    <row r="176" spans="1:27" s="92" customFormat="1" ht="89.25" outlineLevel="1" x14ac:dyDescent="0.2">
      <c r="A176" s="15" t="s">
        <v>437</v>
      </c>
      <c r="B176" s="14" t="s">
        <v>26</v>
      </c>
      <c r="C176" s="8" t="s">
        <v>368</v>
      </c>
      <c r="D176" s="8" t="s">
        <v>369</v>
      </c>
      <c r="E176" s="8" t="s">
        <v>369</v>
      </c>
      <c r="F176" s="8" t="s">
        <v>370</v>
      </c>
      <c r="G176" s="15" t="s">
        <v>43</v>
      </c>
      <c r="H176" s="4">
        <v>1</v>
      </c>
      <c r="I176" s="2" t="s">
        <v>434</v>
      </c>
      <c r="J176" s="1" t="s">
        <v>23</v>
      </c>
      <c r="K176" s="7"/>
      <c r="L176" s="7" t="s">
        <v>31</v>
      </c>
      <c r="M176" s="8" t="s">
        <v>25</v>
      </c>
      <c r="N176" s="131">
        <v>0</v>
      </c>
      <c r="O176" s="131">
        <v>0</v>
      </c>
      <c r="P176" s="131">
        <f>3495000+2455000</f>
        <v>5950000</v>
      </c>
      <c r="Q176" s="131">
        <f>3495000+2455000</f>
        <v>5950000</v>
      </c>
      <c r="R176" s="131">
        <f>3495000+2455000</f>
        <v>5950000</v>
      </c>
      <c r="S176" s="90">
        <v>0</v>
      </c>
      <c r="T176" s="90">
        <v>0</v>
      </c>
      <c r="U176" s="132">
        <f t="shared" si="107"/>
        <v>17850000</v>
      </c>
      <c r="V176" s="132">
        <f t="shared" si="110"/>
        <v>19992000.000000004</v>
      </c>
      <c r="W176" s="7" t="s">
        <v>35</v>
      </c>
      <c r="X176" s="91" t="s">
        <v>33</v>
      </c>
      <c r="Y176" s="89"/>
      <c r="AA176" s="136"/>
    </row>
    <row r="177" spans="1:27" s="92" customFormat="1" ht="114.75" outlineLevel="1" x14ac:dyDescent="0.3">
      <c r="A177" s="15" t="s">
        <v>371</v>
      </c>
      <c r="B177" s="14" t="s">
        <v>26</v>
      </c>
      <c r="C177" s="8" t="s">
        <v>372</v>
      </c>
      <c r="D177" s="8" t="s">
        <v>373</v>
      </c>
      <c r="E177" s="8" t="s">
        <v>373</v>
      </c>
      <c r="F177" s="8" t="s">
        <v>374</v>
      </c>
      <c r="G177" s="15" t="s">
        <v>43</v>
      </c>
      <c r="H177" s="4">
        <v>1</v>
      </c>
      <c r="I177" s="2" t="s">
        <v>331</v>
      </c>
      <c r="J177" s="1" t="s">
        <v>23</v>
      </c>
      <c r="K177" s="7"/>
      <c r="L177" s="7" t="s">
        <v>31</v>
      </c>
      <c r="M177" s="8" t="s">
        <v>25</v>
      </c>
      <c r="N177" s="90">
        <v>0</v>
      </c>
      <c r="O177" s="90">
        <v>0</v>
      </c>
      <c r="P177" s="90">
        <v>7347000</v>
      </c>
      <c r="Q177" s="90">
        <v>7347000</v>
      </c>
      <c r="R177" s="90">
        <v>7347000</v>
      </c>
      <c r="S177" s="90">
        <v>0</v>
      </c>
      <c r="T177" s="90">
        <v>0</v>
      </c>
      <c r="U177" s="9">
        <v>0</v>
      </c>
      <c r="V177" s="103">
        <f t="shared" ref="V177" si="111">U177*1.12</f>
        <v>0</v>
      </c>
      <c r="W177" s="7" t="s">
        <v>35</v>
      </c>
      <c r="X177" s="91" t="s">
        <v>33</v>
      </c>
      <c r="Y177" s="8">
        <v>9.19</v>
      </c>
      <c r="AA177" s="136"/>
    </row>
    <row r="178" spans="1:27" s="92" customFormat="1" ht="114.75" outlineLevel="1" x14ac:dyDescent="0.2">
      <c r="A178" s="15" t="s">
        <v>442</v>
      </c>
      <c r="B178" s="14" t="s">
        <v>26</v>
      </c>
      <c r="C178" s="8" t="s">
        <v>372</v>
      </c>
      <c r="D178" s="8" t="s">
        <v>373</v>
      </c>
      <c r="E178" s="8" t="s">
        <v>373</v>
      </c>
      <c r="F178" s="8" t="s">
        <v>374</v>
      </c>
      <c r="G178" s="15" t="s">
        <v>43</v>
      </c>
      <c r="H178" s="4">
        <v>1</v>
      </c>
      <c r="I178" s="2" t="s">
        <v>443</v>
      </c>
      <c r="J178" s="1" t="s">
        <v>23</v>
      </c>
      <c r="K178" s="7"/>
      <c r="L178" s="7" t="s">
        <v>31</v>
      </c>
      <c r="M178" s="8" t="s">
        <v>25</v>
      </c>
      <c r="N178" s="131">
        <v>0</v>
      </c>
      <c r="O178" s="131">
        <v>0</v>
      </c>
      <c r="P178" s="131">
        <v>7347000</v>
      </c>
      <c r="Q178" s="131">
        <v>7347000</v>
      </c>
      <c r="R178" s="131">
        <v>7347000</v>
      </c>
      <c r="S178" s="90">
        <v>0</v>
      </c>
      <c r="T178" s="90">
        <v>0</v>
      </c>
      <c r="U178" s="132">
        <f t="shared" si="107"/>
        <v>22041000</v>
      </c>
      <c r="V178" s="132">
        <f t="shared" ref="V178" si="112">U178*1.12</f>
        <v>24685920.000000004</v>
      </c>
      <c r="W178" s="7" t="s">
        <v>35</v>
      </c>
      <c r="X178" s="91" t="s">
        <v>34</v>
      </c>
      <c r="Y178" s="89"/>
      <c r="AA178" s="136"/>
    </row>
    <row r="179" spans="1:27" s="108" customFormat="1" ht="127.5" outlineLevel="1" x14ac:dyDescent="0.2">
      <c r="A179" s="15" t="s">
        <v>375</v>
      </c>
      <c r="B179" s="14" t="s">
        <v>26</v>
      </c>
      <c r="C179" s="8" t="s">
        <v>376</v>
      </c>
      <c r="D179" s="8" t="s">
        <v>377</v>
      </c>
      <c r="E179" s="8" t="s">
        <v>377</v>
      </c>
      <c r="F179" s="8" t="s">
        <v>378</v>
      </c>
      <c r="G179" s="15" t="s">
        <v>43</v>
      </c>
      <c r="H179" s="4">
        <v>1</v>
      </c>
      <c r="I179" s="2" t="s">
        <v>331</v>
      </c>
      <c r="J179" s="1" t="s">
        <v>23</v>
      </c>
      <c r="K179" s="7"/>
      <c r="L179" s="7" t="s">
        <v>31</v>
      </c>
      <c r="M179" s="8" t="s">
        <v>25</v>
      </c>
      <c r="N179" s="131">
        <v>0</v>
      </c>
      <c r="O179" s="131">
        <v>0</v>
      </c>
      <c r="P179" s="131">
        <v>6075000</v>
      </c>
      <c r="Q179" s="131">
        <v>6075000</v>
      </c>
      <c r="R179" s="131">
        <v>6075000</v>
      </c>
      <c r="S179" s="90">
        <v>0</v>
      </c>
      <c r="T179" s="90">
        <v>0</v>
      </c>
      <c r="U179" s="132">
        <f t="shared" si="107"/>
        <v>18225000</v>
      </c>
      <c r="V179" s="132">
        <f t="shared" ref="V179" si="113">U179*1.12</f>
        <v>20412000.000000004</v>
      </c>
      <c r="W179" s="7" t="s">
        <v>35</v>
      </c>
      <c r="X179" s="91" t="s">
        <v>33</v>
      </c>
      <c r="Y179" s="89"/>
      <c r="AA179" s="136"/>
    </row>
    <row r="180" spans="1:27" s="92" customFormat="1" ht="165.75" outlineLevel="1" x14ac:dyDescent="0.2">
      <c r="A180" s="15" t="s">
        <v>379</v>
      </c>
      <c r="B180" s="14" t="s">
        <v>26</v>
      </c>
      <c r="C180" s="8" t="s">
        <v>380</v>
      </c>
      <c r="D180" s="8" t="s">
        <v>381</v>
      </c>
      <c r="E180" s="8" t="s">
        <v>381</v>
      </c>
      <c r="F180" s="8" t="s">
        <v>382</v>
      </c>
      <c r="G180" s="15" t="s">
        <v>43</v>
      </c>
      <c r="H180" s="4">
        <v>1</v>
      </c>
      <c r="I180" s="2" t="s">
        <v>331</v>
      </c>
      <c r="J180" s="1" t="s">
        <v>23</v>
      </c>
      <c r="K180" s="7"/>
      <c r="L180" s="7" t="s">
        <v>31</v>
      </c>
      <c r="M180" s="8" t="s">
        <v>25</v>
      </c>
      <c r="N180" s="131">
        <v>0</v>
      </c>
      <c r="O180" s="131">
        <v>0</v>
      </c>
      <c r="P180" s="131">
        <v>6664280</v>
      </c>
      <c r="Q180" s="131">
        <v>6664280</v>
      </c>
      <c r="R180" s="131">
        <v>6664280</v>
      </c>
      <c r="S180" s="90">
        <v>0</v>
      </c>
      <c r="T180" s="90">
        <v>0</v>
      </c>
      <c r="U180" s="132">
        <f t="shared" si="107"/>
        <v>19992840</v>
      </c>
      <c r="V180" s="132">
        <f t="shared" ref="V180" si="114">U180*1.12</f>
        <v>22391980.800000001</v>
      </c>
      <c r="W180" s="7" t="s">
        <v>35</v>
      </c>
      <c r="X180" s="91" t="s">
        <v>33</v>
      </c>
      <c r="Y180" s="89"/>
      <c r="AA180" s="136"/>
    </row>
    <row r="181" spans="1:27" s="92" customFormat="1" ht="63.75" outlineLevel="1" x14ac:dyDescent="0.2">
      <c r="A181" s="15" t="s">
        <v>383</v>
      </c>
      <c r="B181" s="14" t="s">
        <v>26</v>
      </c>
      <c r="C181" s="8" t="s">
        <v>380</v>
      </c>
      <c r="D181" s="8" t="s">
        <v>381</v>
      </c>
      <c r="E181" s="8" t="s">
        <v>381</v>
      </c>
      <c r="F181" s="8" t="s">
        <v>384</v>
      </c>
      <c r="G181" s="15" t="s">
        <v>43</v>
      </c>
      <c r="H181" s="4">
        <v>1</v>
      </c>
      <c r="I181" s="2" t="s">
        <v>331</v>
      </c>
      <c r="J181" s="1" t="s">
        <v>156</v>
      </c>
      <c r="K181" s="7"/>
      <c r="L181" s="7" t="s">
        <v>31</v>
      </c>
      <c r="M181" s="8" t="s">
        <v>25</v>
      </c>
      <c r="N181" s="131">
        <v>0</v>
      </c>
      <c r="O181" s="131">
        <v>0</v>
      </c>
      <c r="P181" s="131">
        <v>816932</v>
      </c>
      <c r="Q181" s="131">
        <v>816932</v>
      </c>
      <c r="R181" s="131">
        <v>816932</v>
      </c>
      <c r="S181" s="90">
        <v>0</v>
      </c>
      <c r="T181" s="90">
        <v>0</v>
      </c>
      <c r="U181" s="132">
        <f t="shared" si="107"/>
        <v>2450796</v>
      </c>
      <c r="V181" s="132">
        <f t="shared" ref="V181" si="115">U181*1.12</f>
        <v>2744891.5200000005</v>
      </c>
      <c r="W181" s="7" t="s">
        <v>35</v>
      </c>
      <c r="X181" s="91" t="s">
        <v>33</v>
      </c>
      <c r="Y181" s="89"/>
      <c r="AA181" s="136"/>
    </row>
    <row r="182" spans="1:27" s="108" customFormat="1" ht="76.5" outlineLevel="1" x14ac:dyDescent="0.3">
      <c r="A182" s="15" t="s">
        <v>385</v>
      </c>
      <c r="B182" s="14" t="s">
        <v>26</v>
      </c>
      <c r="C182" s="8" t="s">
        <v>386</v>
      </c>
      <c r="D182" s="8" t="s">
        <v>387</v>
      </c>
      <c r="E182" s="8" t="s">
        <v>387</v>
      </c>
      <c r="F182" s="8" t="s">
        <v>388</v>
      </c>
      <c r="G182" s="15" t="s">
        <v>43</v>
      </c>
      <c r="H182" s="4">
        <v>1</v>
      </c>
      <c r="I182" s="2" t="s">
        <v>331</v>
      </c>
      <c r="J182" s="1" t="s">
        <v>23</v>
      </c>
      <c r="K182" s="7"/>
      <c r="L182" s="7" t="s">
        <v>31</v>
      </c>
      <c r="M182" s="8" t="s">
        <v>25</v>
      </c>
      <c r="N182" s="90">
        <v>0</v>
      </c>
      <c r="O182" s="90">
        <v>0</v>
      </c>
      <c r="P182" s="90">
        <v>43056000</v>
      </c>
      <c r="Q182" s="90">
        <v>43056000</v>
      </c>
      <c r="R182" s="90">
        <v>43056000</v>
      </c>
      <c r="S182" s="90">
        <v>0</v>
      </c>
      <c r="T182" s="90">
        <v>0</v>
      </c>
      <c r="U182" s="9">
        <v>0</v>
      </c>
      <c r="V182" s="103">
        <f t="shared" ref="V182" si="116">U182*1.12</f>
        <v>0</v>
      </c>
      <c r="W182" s="7" t="s">
        <v>35</v>
      </c>
      <c r="X182" s="91" t="s">
        <v>33</v>
      </c>
      <c r="Y182" s="8" t="s">
        <v>253</v>
      </c>
      <c r="AA182" s="136"/>
    </row>
    <row r="183" spans="1:27" s="108" customFormat="1" ht="114.75" outlineLevel="1" x14ac:dyDescent="0.2">
      <c r="A183" s="15" t="s">
        <v>389</v>
      </c>
      <c r="B183" s="14" t="s">
        <v>26</v>
      </c>
      <c r="C183" s="8" t="s">
        <v>402</v>
      </c>
      <c r="D183" s="8" t="s">
        <v>403</v>
      </c>
      <c r="E183" s="8" t="s">
        <v>403</v>
      </c>
      <c r="F183" s="8" t="s">
        <v>404</v>
      </c>
      <c r="G183" s="15" t="s">
        <v>43</v>
      </c>
      <c r="H183" s="4">
        <v>1</v>
      </c>
      <c r="I183" s="2" t="s">
        <v>331</v>
      </c>
      <c r="J183" s="1" t="s">
        <v>23</v>
      </c>
      <c r="K183" s="7"/>
      <c r="L183" s="7" t="s">
        <v>31</v>
      </c>
      <c r="M183" s="8" t="s">
        <v>25</v>
      </c>
      <c r="N183" s="131">
        <v>0</v>
      </c>
      <c r="O183" s="131">
        <v>0</v>
      </c>
      <c r="P183" s="131">
        <v>5720000</v>
      </c>
      <c r="Q183" s="131">
        <v>5720000</v>
      </c>
      <c r="R183" s="131">
        <v>5720000</v>
      </c>
      <c r="S183" s="90">
        <v>0</v>
      </c>
      <c r="T183" s="90">
        <v>0</v>
      </c>
      <c r="U183" s="132">
        <f t="shared" si="107"/>
        <v>17160000</v>
      </c>
      <c r="V183" s="132">
        <f t="shared" ref="V183" si="117">U183*1.12</f>
        <v>19219200</v>
      </c>
      <c r="W183" s="7" t="s">
        <v>35</v>
      </c>
      <c r="X183" s="91" t="s">
        <v>33</v>
      </c>
      <c r="Y183" s="89"/>
      <c r="AA183" s="136"/>
    </row>
    <row r="184" spans="1:27" s="108" customFormat="1" ht="51" outlineLevel="1" x14ac:dyDescent="0.2">
      <c r="A184" s="15" t="s">
        <v>405</v>
      </c>
      <c r="B184" s="14" t="s">
        <v>26</v>
      </c>
      <c r="C184" s="8" t="s">
        <v>406</v>
      </c>
      <c r="D184" s="8" t="s">
        <v>407</v>
      </c>
      <c r="E184" s="8" t="s">
        <v>407</v>
      </c>
      <c r="F184" s="8" t="s">
        <v>408</v>
      </c>
      <c r="G184" s="15" t="s">
        <v>21</v>
      </c>
      <c r="H184" s="4">
        <v>1</v>
      </c>
      <c r="I184" s="2" t="s">
        <v>331</v>
      </c>
      <c r="J184" s="1" t="s">
        <v>23</v>
      </c>
      <c r="K184" s="7"/>
      <c r="L184" s="7" t="s">
        <v>31</v>
      </c>
      <c r="M184" s="8" t="s">
        <v>25</v>
      </c>
      <c r="N184" s="131">
        <v>0</v>
      </c>
      <c r="O184" s="131">
        <v>0</v>
      </c>
      <c r="P184" s="131">
        <v>1318240</v>
      </c>
      <c r="Q184" s="131">
        <f>P184*1.07</f>
        <v>1410516.8</v>
      </c>
      <c r="R184" s="131">
        <f>P184*1.06</f>
        <v>1397334.4000000001</v>
      </c>
      <c r="S184" s="90">
        <v>0</v>
      </c>
      <c r="T184" s="90">
        <v>0</v>
      </c>
      <c r="U184" s="132">
        <f t="shared" si="107"/>
        <v>4126091.2</v>
      </c>
      <c r="V184" s="132">
        <f t="shared" ref="V184:V186" si="118">U184*1.12</f>
        <v>4621222.1440000003</v>
      </c>
      <c r="W184" s="7" t="s">
        <v>35</v>
      </c>
      <c r="X184" s="91" t="s">
        <v>33</v>
      </c>
      <c r="Y184" s="89"/>
      <c r="AA184" s="136"/>
    </row>
    <row r="185" spans="1:27" s="92" customFormat="1" ht="63.75" outlineLevel="1" x14ac:dyDescent="0.3">
      <c r="A185" s="15" t="s">
        <v>410</v>
      </c>
      <c r="B185" s="14" t="s">
        <v>26</v>
      </c>
      <c r="C185" s="8" t="s">
        <v>411</v>
      </c>
      <c r="D185" s="8" t="s">
        <v>412</v>
      </c>
      <c r="E185" s="8" t="s">
        <v>412</v>
      </c>
      <c r="F185" s="8"/>
      <c r="G185" s="15" t="s">
        <v>43</v>
      </c>
      <c r="H185" s="4">
        <v>1</v>
      </c>
      <c r="I185" s="2" t="s">
        <v>331</v>
      </c>
      <c r="J185" s="1" t="s">
        <v>23</v>
      </c>
      <c r="K185" s="7"/>
      <c r="L185" s="7" t="s">
        <v>31</v>
      </c>
      <c r="M185" s="8" t="s">
        <v>25</v>
      </c>
      <c r="N185" s="90">
        <v>0</v>
      </c>
      <c r="O185" s="90">
        <v>0</v>
      </c>
      <c r="P185" s="90">
        <v>2835000</v>
      </c>
      <c r="Q185" s="90">
        <v>4095000</v>
      </c>
      <c r="R185" s="90">
        <v>4095000</v>
      </c>
      <c r="S185" s="90">
        <v>0</v>
      </c>
      <c r="T185" s="90">
        <v>0</v>
      </c>
      <c r="U185" s="9">
        <v>0</v>
      </c>
      <c r="V185" s="103">
        <f t="shared" si="118"/>
        <v>0</v>
      </c>
      <c r="W185" s="7" t="s">
        <v>35</v>
      </c>
      <c r="X185" s="91" t="s">
        <v>33</v>
      </c>
      <c r="Y185" s="8">
        <v>6</v>
      </c>
      <c r="AA185" s="136"/>
    </row>
    <row r="186" spans="1:27" s="92" customFormat="1" ht="63.75" outlineLevel="1" x14ac:dyDescent="0.3">
      <c r="A186" s="15" t="s">
        <v>418</v>
      </c>
      <c r="B186" s="14" t="s">
        <v>26</v>
      </c>
      <c r="C186" s="8" t="s">
        <v>411</v>
      </c>
      <c r="D186" s="8" t="s">
        <v>412</v>
      </c>
      <c r="E186" s="8" t="s">
        <v>412</v>
      </c>
      <c r="F186" s="8" t="s">
        <v>419</v>
      </c>
      <c r="G186" s="15" t="s">
        <v>43</v>
      </c>
      <c r="H186" s="4">
        <v>1</v>
      </c>
      <c r="I186" s="2" t="s">
        <v>331</v>
      </c>
      <c r="J186" s="1" t="s">
        <v>23</v>
      </c>
      <c r="K186" s="7"/>
      <c r="L186" s="7" t="s">
        <v>31</v>
      </c>
      <c r="M186" s="8" t="s">
        <v>25</v>
      </c>
      <c r="N186" s="90">
        <v>0</v>
      </c>
      <c r="O186" s="90">
        <v>0</v>
      </c>
      <c r="P186" s="90">
        <v>2835000</v>
      </c>
      <c r="Q186" s="90">
        <v>4095000</v>
      </c>
      <c r="R186" s="90">
        <v>4095000</v>
      </c>
      <c r="S186" s="90">
        <v>0</v>
      </c>
      <c r="T186" s="90">
        <v>0</v>
      </c>
      <c r="U186" s="9">
        <v>0</v>
      </c>
      <c r="V186" s="103">
        <f t="shared" si="118"/>
        <v>0</v>
      </c>
      <c r="W186" s="7" t="s">
        <v>35</v>
      </c>
      <c r="X186" s="91" t="s">
        <v>33</v>
      </c>
      <c r="Y186" s="8" t="s">
        <v>446</v>
      </c>
      <c r="AA186" s="136"/>
    </row>
    <row r="187" spans="1:27" s="92" customFormat="1" ht="63.75" outlineLevel="1" x14ac:dyDescent="0.3">
      <c r="A187" s="15" t="s">
        <v>445</v>
      </c>
      <c r="B187" s="14" t="s">
        <v>26</v>
      </c>
      <c r="C187" s="8" t="s">
        <v>411</v>
      </c>
      <c r="D187" s="8" t="s">
        <v>412</v>
      </c>
      <c r="E187" s="8" t="s">
        <v>412</v>
      </c>
      <c r="F187" s="8" t="s">
        <v>419</v>
      </c>
      <c r="G187" s="15" t="s">
        <v>43</v>
      </c>
      <c r="H187" s="4">
        <v>1</v>
      </c>
      <c r="I187" s="2" t="s">
        <v>447</v>
      </c>
      <c r="J187" s="1" t="s">
        <v>23</v>
      </c>
      <c r="K187" s="7"/>
      <c r="L187" s="7" t="s">
        <v>31</v>
      </c>
      <c r="M187" s="8" t="s">
        <v>25</v>
      </c>
      <c r="N187" s="131">
        <v>0</v>
      </c>
      <c r="O187" s="131">
        <v>0</v>
      </c>
      <c r="P187" s="131">
        <f>2835000+577970</f>
        <v>3412970</v>
      </c>
      <c r="Q187" s="131">
        <f>4095000-4680</f>
        <v>4090320</v>
      </c>
      <c r="R187" s="131">
        <f>4095000-4680</f>
        <v>4090320</v>
      </c>
      <c r="S187" s="90">
        <v>0</v>
      </c>
      <c r="T187" s="90">
        <v>0</v>
      </c>
      <c r="U187" s="132">
        <f t="shared" ref="U187:U188" si="119">N187+O187+P187+Q187+R187+S187</f>
        <v>11593610</v>
      </c>
      <c r="V187" s="132">
        <f t="shared" ref="V187" si="120">U187*1.12</f>
        <v>12984843.200000001</v>
      </c>
      <c r="W187" s="7" t="s">
        <v>35</v>
      </c>
      <c r="X187" s="91" t="s">
        <v>34</v>
      </c>
      <c r="Y187" s="8"/>
      <c r="AA187" s="136"/>
    </row>
    <row r="188" spans="1:27" s="108" customFormat="1" ht="51" outlineLevel="1" x14ac:dyDescent="0.2">
      <c r="A188" s="15" t="s">
        <v>420</v>
      </c>
      <c r="B188" s="14" t="s">
        <v>26</v>
      </c>
      <c r="C188" s="8" t="s">
        <v>421</v>
      </c>
      <c r="D188" s="8" t="s">
        <v>422</v>
      </c>
      <c r="E188" s="8" t="s">
        <v>423</v>
      </c>
      <c r="F188" s="8"/>
      <c r="G188" s="15" t="s">
        <v>21</v>
      </c>
      <c r="H188" s="4">
        <v>1</v>
      </c>
      <c r="I188" s="2" t="s">
        <v>331</v>
      </c>
      <c r="J188" s="1" t="s">
        <v>23</v>
      </c>
      <c r="K188" s="7"/>
      <c r="L188" s="7" t="s">
        <v>31</v>
      </c>
      <c r="M188" s="8" t="s">
        <v>25</v>
      </c>
      <c r="N188" s="131">
        <v>0</v>
      </c>
      <c r="O188" s="131">
        <v>0</v>
      </c>
      <c r="P188" s="131">
        <v>3352885.71</v>
      </c>
      <c r="Q188" s="131">
        <v>3352885.71</v>
      </c>
      <c r="R188" s="131">
        <v>3352885.71</v>
      </c>
      <c r="S188" s="90">
        <v>0</v>
      </c>
      <c r="T188" s="90">
        <v>0</v>
      </c>
      <c r="U188" s="132">
        <f t="shared" si="119"/>
        <v>10058657.129999999</v>
      </c>
      <c r="V188" s="132">
        <f t="shared" ref="V188:V193" si="121">U188*1.12</f>
        <v>11265695.9856</v>
      </c>
      <c r="W188" s="7" t="s">
        <v>35</v>
      </c>
      <c r="X188" s="91" t="s">
        <v>33</v>
      </c>
      <c r="Y188" s="89"/>
      <c r="AA188" s="136"/>
    </row>
    <row r="189" spans="1:27" s="92" customFormat="1" ht="63.75" outlineLevel="1" x14ac:dyDescent="0.3">
      <c r="A189" s="15" t="s">
        <v>424</v>
      </c>
      <c r="B189" s="14" t="s">
        <v>26</v>
      </c>
      <c r="C189" s="8" t="s">
        <v>425</v>
      </c>
      <c r="D189" s="8" t="s">
        <v>426</v>
      </c>
      <c r="E189" s="8" t="s">
        <v>427</v>
      </c>
      <c r="F189" s="8"/>
      <c r="G189" s="15" t="s">
        <v>21</v>
      </c>
      <c r="H189" s="4">
        <v>1</v>
      </c>
      <c r="I189" s="2" t="s">
        <v>331</v>
      </c>
      <c r="J189" s="1" t="s">
        <v>23</v>
      </c>
      <c r="K189" s="7"/>
      <c r="L189" s="7" t="s">
        <v>31</v>
      </c>
      <c r="M189" s="8" t="s">
        <v>25</v>
      </c>
      <c r="N189" s="90">
        <v>0</v>
      </c>
      <c r="O189" s="90">
        <v>0</v>
      </c>
      <c r="P189" s="90">
        <v>4936520</v>
      </c>
      <c r="Q189" s="90">
        <v>4936520</v>
      </c>
      <c r="R189" s="90">
        <v>4936520</v>
      </c>
      <c r="S189" s="90">
        <v>0</v>
      </c>
      <c r="T189" s="90">
        <v>0</v>
      </c>
      <c r="U189" s="9">
        <v>0</v>
      </c>
      <c r="V189" s="9">
        <f t="shared" si="121"/>
        <v>0</v>
      </c>
      <c r="W189" s="7" t="s">
        <v>35</v>
      </c>
      <c r="X189" s="91" t="s">
        <v>33</v>
      </c>
      <c r="Y189" s="8" t="s">
        <v>440</v>
      </c>
      <c r="AA189" s="136"/>
    </row>
    <row r="190" spans="1:27" s="92" customFormat="1" ht="63.75" outlineLevel="1" x14ac:dyDescent="0.2">
      <c r="A190" s="15" t="s">
        <v>438</v>
      </c>
      <c r="B190" s="14" t="s">
        <v>26</v>
      </c>
      <c r="C190" s="8" t="s">
        <v>425</v>
      </c>
      <c r="D190" s="8" t="s">
        <v>426</v>
      </c>
      <c r="E190" s="8" t="s">
        <v>427</v>
      </c>
      <c r="F190" s="8"/>
      <c r="G190" s="15" t="s">
        <v>21</v>
      </c>
      <c r="H190" s="4">
        <v>1</v>
      </c>
      <c r="I190" s="2" t="s">
        <v>439</v>
      </c>
      <c r="J190" s="1" t="s">
        <v>23</v>
      </c>
      <c r="K190" s="7"/>
      <c r="L190" s="7" t="s">
        <v>31</v>
      </c>
      <c r="M190" s="8" t="s">
        <v>25</v>
      </c>
      <c r="N190" s="131">
        <v>0</v>
      </c>
      <c r="O190" s="131">
        <v>0</v>
      </c>
      <c r="P190" s="131">
        <v>6796901.4299999997</v>
      </c>
      <c r="Q190" s="131">
        <v>7290492</v>
      </c>
      <c r="R190" s="131">
        <v>7290492</v>
      </c>
      <c r="S190" s="90">
        <v>0</v>
      </c>
      <c r="T190" s="90">
        <v>0</v>
      </c>
      <c r="U190" s="132">
        <f t="shared" ref="U190:U191" si="122">N190+O190+P190+Q190+R190+S190</f>
        <v>21377885.43</v>
      </c>
      <c r="V190" s="132">
        <f t="shared" si="121"/>
        <v>23943231.681600001</v>
      </c>
      <c r="W190" s="7" t="s">
        <v>35</v>
      </c>
      <c r="X190" s="91" t="s">
        <v>33</v>
      </c>
      <c r="Y190" s="89"/>
      <c r="AA190" s="136"/>
    </row>
    <row r="191" spans="1:27" s="92" customFormat="1" ht="76.5" outlineLevel="1" x14ac:dyDescent="0.2">
      <c r="A191" s="15" t="s">
        <v>449</v>
      </c>
      <c r="B191" s="14" t="s">
        <v>26</v>
      </c>
      <c r="C191" s="8" t="s">
        <v>450</v>
      </c>
      <c r="D191" s="8" t="s">
        <v>451</v>
      </c>
      <c r="E191" s="8" t="s">
        <v>452</v>
      </c>
      <c r="F191" s="8"/>
      <c r="G191" s="15" t="s">
        <v>21</v>
      </c>
      <c r="H191" s="4">
        <v>1</v>
      </c>
      <c r="I191" s="2" t="s">
        <v>468</v>
      </c>
      <c r="J191" s="1" t="s">
        <v>23</v>
      </c>
      <c r="K191" s="7"/>
      <c r="L191" s="7" t="s">
        <v>31</v>
      </c>
      <c r="M191" s="8" t="s">
        <v>25</v>
      </c>
      <c r="N191" s="131">
        <v>0</v>
      </c>
      <c r="O191" s="131">
        <v>0</v>
      </c>
      <c r="P191" s="131">
        <v>446428.57</v>
      </c>
      <c r="Q191" s="131">
        <v>446428.57</v>
      </c>
      <c r="R191" s="131">
        <v>446428.57</v>
      </c>
      <c r="S191" s="90">
        <v>0</v>
      </c>
      <c r="T191" s="90">
        <v>0</v>
      </c>
      <c r="U191" s="132">
        <f t="shared" si="122"/>
        <v>1339285.71</v>
      </c>
      <c r="V191" s="132">
        <f t="shared" si="121"/>
        <v>1499999.9952</v>
      </c>
      <c r="W191" s="7" t="s">
        <v>35</v>
      </c>
      <c r="X191" s="91" t="s">
        <v>34</v>
      </c>
      <c r="Y191" s="89"/>
      <c r="AA191" s="136"/>
    </row>
    <row r="192" spans="1:27" s="92" customFormat="1" ht="51" outlineLevel="1" x14ac:dyDescent="0.2">
      <c r="A192" s="15" t="s">
        <v>464</v>
      </c>
      <c r="B192" s="14" t="s">
        <v>26</v>
      </c>
      <c r="C192" s="8" t="s">
        <v>465</v>
      </c>
      <c r="D192" s="8" t="s">
        <v>466</v>
      </c>
      <c r="E192" s="8" t="s">
        <v>466</v>
      </c>
      <c r="F192" s="8" t="s">
        <v>471</v>
      </c>
      <c r="G192" s="15" t="s">
        <v>43</v>
      </c>
      <c r="H192" s="4">
        <v>0.5</v>
      </c>
      <c r="I192" s="2" t="s">
        <v>469</v>
      </c>
      <c r="J192" s="1" t="s">
        <v>23</v>
      </c>
      <c r="K192" s="7"/>
      <c r="L192" s="7" t="s">
        <v>31</v>
      </c>
      <c r="M192" s="8" t="s">
        <v>25</v>
      </c>
      <c r="N192" s="131">
        <v>0</v>
      </c>
      <c r="O192" s="131">
        <v>0</v>
      </c>
      <c r="P192" s="131">
        <v>0</v>
      </c>
      <c r="Q192" s="131">
        <v>520000000</v>
      </c>
      <c r="R192" s="131">
        <v>520000000</v>
      </c>
      <c r="S192" s="131">
        <v>520000000</v>
      </c>
      <c r="T192" s="90">
        <v>0</v>
      </c>
      <c r="U192" s="132">
        <f>N192+O192+P192+Q192+R192+S192</f>
        <v>1560000000</v>
      </c>
      <c r="V192" s="132">
        <f t="shared" si="121"/>
        <v>1747200000.0000002</v>
      </c>
      <c r="W192" s="7"/>
      <c r="X192" s="91" t="s">
        <v>34</v>
      </c>
      <c r="Y192" s="89"/>
      <c r="AA192" s="136"/>
    </row>
    <row r="193" spans="1:28" s="92" customFormat="1" ht="51" outlineLevel="1" x14ac:dyDescent="0.2">
      <c r="A193" s="15" t="s">
        <v>474</v>
      </c>
      <c r="B193" s="14" t="s">
        <v>26</v>
      </c>
      <c r="C193" s="8" t="s">
        <v>475</v>
      </c>
      <c r="D193" s="8" t="s">
        <v>476</v>
      </c>
      <c r="E193" s="8" t="s">
        <v>476</v>
      </c>
      <c r="F193" s="110" t="s">
        <v>477</v>
      </c>
      <c r="G193" s="15" t="s">
        <v>21</v>
      </c>
      <c r="H193" s="4">
        <v>0</v>
      </c>
      <c r="I193" s="2" t="s">
        <v>469</v>
      </c>
      <c r="J193" s="1" t="s">
        <v>23</v>
      </c>
      <c r="K193" s="7"/>
      <c r="L193" s="7" t="s">
        <v>31</v>
      </c>
      <c r="M193" s="8" t="s">
        <v>25</v>
      </c>
      <c r="N193" s="131">
        <v>0</v>
      </c>
      <c r="O193" s="131">
        <v>0</v>
      </c>
      <c r="P193" s="131">
        <v>0</v>
      </c>
      <c r="Q193" s="131">
        <v>707533928.57000005</v>
      </c>
      <c r="R193" s="131">
        <v>0</v>
      </c>
      <c r="S193" s="131">
        <v>0</v>
      </c>
      <c r="T193" s="126">
        <v>0</v>
      </c>
      <c r="U193" s="132">
        <f>N193+O193+P193+Q193+R193+S193</f>
        <v>707533928.57000005</v>
      </c>
      <c r="V193" s="132">
        <f t="shared" si="121"/>
        <v>792437999.99840009</v>
      </c>
      <c r="W193" s="7"/>
      <c r="X193" s="91" t="s">
        <v>34</v>
      </c>
      <c r="Y193" s="89"/>
      <c r="AA193" s="136"/>
    </row>
    <row r="194" spans="1:28" s="98" customFormat="1" x14ac:dyDescent="0.3">
      <c r="A194" s="94" t="s">
        <v>178</v>
      </c>
      <c r="B194" s="95"/>
      <c r="C194" s="96"/>
      <c r="D194" s="8"/>
      <c r="E194" s="8"/>
      <c r="F194" s="15"/>
      <c r="G194" s="15"/>
      <c r="H194" s="15"/>
      <c r="I194" s="2"/>
      <c r="J194" s="15"/>
      <c r="K194" s="15"/>
      <c r="L194" s="15"/>
      <c r="M194" s="15"/>
      <c r="N194" s="128"/>
      <c r="O194" s="128"/>
      <c r="P194" s="128"/>
      <c r="Q194" s="128"/>
      <c r="R194" s="128" t="s">
        <v>177</v>
      </c>
      <c r="S194" s="128" t="s">
        <v>177</v>
      </c>
      <c r="T194" s="128"/>
      <c r="U194" s="133">
        <f>SUM(U154:U193)</f>
        <v>3783732947.2278004</v>
      </c>
      <c r="V194" s="133">
        <f>SUM(V154:V193)</f>
        <v>4237780900.8951364</v>
      </c>
      <c r="W194" s="91"/>
      <c r="X194" s="91"/>
      <c r="Y194" s="97"/>
      <c r="Z194" s="92"/>
      <c r="AA194" s="136"/>
      <c r="AB194" s="137"/>
    </row>
    <row r="195" spans="1:28" s="107" customFormat="1" x14ac:dyDescent="0.3">
      <c r="A195" s="104" t="s">
        <v>24</v>
      </c>
      <c r="B195" s="105"/>
      <c r="C195" s="100"/>
      <c r="D195" s="100"/>
      <c r="E195" s="100"/>
      <c r="F195" s="100"/>
      <c r="G195" s="105"/>
      <c r="H195" s="105"/>
      <c r="I195" s="105"/>
      <c r="J195" s="105"/>
      <c r="K195" s="105"/>
      <c r="L195" s="105"/>
      <c r="M195" s="105"/>
      <c r="N195" s="134"/>
      <c r="O195" s="134"/>
      <c r="P195" s="134"/>
      <c r="Q195" s="134"/>
      <c r="R195" s="134"/>
      <c r="S195" s="134"/>
      <c r="T195" s="134"/>
      <c r="U195" s="133">
        <f>U194+U152+U144</f>
        <v>4002147043.4078002</v>
      </c>
      <c r="V195" s="133">
        <f>U195*1.12</f>
        <v>4482404688.6167364</v>
      </c>
      <c r="W195" s="105"/>
      <c r="X195" s="106"/>
      <c r="Y195" s="106"/>
      <c r="Z195" s="98"/>
      <c r="AA195" s="98"/>
    </row>
    <row r="197" spans="1:28" ht="15" x14ac:dyDescent="0.25">
      <c r="A197" s="71"/>
      <c r="B197" s="138" t="s">
        <v>472</v>
      </c>
      <c r="C197" s="73"/>
      <c r="D197" s="73"/>
      <c r="E197" s="73"/>
      <c r="F197" s="73"/>
      <c r="G197" s="73"/>
      <c r="H197" s="74"/>
      <c r="I197" s="73"/>
      <c r="J197" s="74"/>
      <c r="K197" s="74"/>
      <c r="L197" s="74"/>
      <c r="M197" s="74"/>
      <c r="N197" s="135"/>
      <c r="O197" s="135"/>
      <c r="P197" s="135"/>
      <c r="Q197" s="135"/>
      <c r="R197" s="135"/>
      <c r="S197" s="135"/>
      <c r="T197" s="135"/>
      <c r="U197" s="135"/>
      <c r="V197" s="135"/>
      <c r="W197" s="74"/>
      <c r="X197" s="74"/>
      <c r="Y197" s="74"/>
      <c r="Z197" s="71"/>
      <c r="AA197" s="71"/>
      <c r="AB197" s="71"/>
    </row>
  </sheetData>
  <autoFilter ref="A28:AO195">
    <filterColumn colId="13" showButton="0"/>
    <filterColumn colId="14" showButton="0"/>
    <filterColumn colId="15" showButton="0"/>
    <filterColumn colId="16" showButton="0"/>
    <filterColumn colId="17" showButton="0"/>
  </autoFilter>
  <mergeCells count="36">
    <mergeCell ref="Q1:Y1"/>
    <mergeCell ref="Q4:Y4"/>
    <mergeCell ref="D25:D27"/>
    <mergeCell ref="E25:E27"/>
    <mergeCell ref="Q5:Y5"/>
    <mergeCell ref="Q6:Y6"/>
    <mergeCell ref="Q7:Y7"/>
    <mergeCell ref="Q8:Y8"/>
    <mergeCell ref="Q9:Y9"/>
    <mergeCell ref="Q10:Y10"/>
    <mergeCell ref="Q11:Y11"/>
    <mergeCell ref="Q12:Y12"/>
    <mergeCell ref="Q13:Y13"/>
    <mergeCell ref="Q14:Y14"/>
    <mergeCell ref="Q16:Y16"/>
    <mergeCell ref="Q18:Y18"/>
    <mergeCell ref="K25:K27"/>
    <mergeCell ref="N28:S28"/>
    <mergeCell ref="A22:Y22"/>
    <mergeCell ref="Q17:Y17"/>
    <mergeCell ref="V2:Y2"/>
    <mergeCell ref="A25:A27"/>
    <mergeCell ref="B25:B27"/>
    <mergeCell ref="C25:C27"/>
    <mergeCell ref="L25:L27"/>
    <mergeCell ref="M25:M27"/>
    <mergeCell ref="G25:G27"/>
    <mergeCell ref="H25:H27"/>
    <mergeCell ref="I25:I27"/>
    <mergeCell ref="J25:J27"/>
    <mergeCell ref="U3:Y3"/>
    <mergeCell ref="F25:F27"/>
    <mergeCell ref="N25:S26"/>
    <mergeCell ref="Q19:Y19"/>
    <mergeCell ref="Q20:Y20"/>
    <mergeCell ref="Q15:Y15"/>
  </mergeCells>
  <pageMargins left="0" right="0" top="0.59055118110236227" bottom="0.59055118110236227" header="0.31496062992125984" footer="0.31496062992125984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8"/>
  <sheetViews>
    <sheetView topLeftCell="A49" zoomScale="70" zoomScaleNormal="70" workbookViewId="0">
      <selection activeCell="D15" sqref="D15"/>
    </sheetView>
  </sheetViews>
  <sheetFormatPr defaultColWidth="8.69921875" defaultRowHeight="12.75" x14ac:dyDescent="0.3"/>
  <cols>
    <col min="1" max="1" width="6.59765625" style="23" customWidth="1"/>
    <col min="2" max="2" width="10.8984375" style="24" customWidth="1"/>
    <col min="3" max="3" width="10" style="25" customWidth="1"/>
    <col min="4" max="4" width="16.3984375" style="26" customWidth="1"/>
    <col min="5" max="5" width="18.19921875" style="24" customWidth="1"/>
    <col min="6" max="6" width="17.8984375" style="24" customWidth="1"/>
    <col min="7" max="7" width="4.8984375" style="24" customWidth="1"/>
    <col min="8" max="8" width="6.5" style="24" customWidth="1"/>
    <col min="9" max="9" width="8.09765625" style="24" customWidth="1"/>
    <col min="10" max="10" width="10.8984375" style="24" customWidth="1"/>
    <col min="11" max="11" width="5.5" style="24" customWidth="1"/>
    <col min="12" max="12" width="16.3984375" style="24" customWidth="1"/>
    <col min="13" max="13" width="7.59765625" style="24" customWidth="1"/>
    <col min="14" max="18" width="9.19921875" style="27" customWidth="1"/>
    <col min="19" max="19" width="8.59765625" style="27" customWidth="1"/>
    <col min="20" max="20" width="12.19921875" style="27" customWidth="1"/>
    <col min="21" max="21" width="11.5" style="27" customWidth="1"/>
    <col min="22" max="22" width="5.296875" style="24" customWidth="1"/>
    <col min="23" max="23" width="6.296875" style="24" customWidth="1"/>
    <col min="24" max="24" width="7.796875" style="24" customWidth="1"/>
    <col min="25" max="16384" width="8.69921875" style="23"/>
  </cols>
  <sheetData>
    <row r="1" spans="1:40" s="69" customFormat="1" ht="13.5" thickBot="1" x14ac:dyDescent="0.25">
      <c r="A1" s="64"/>
      <c r="B1" s="64"/>
      <c r="C1" s="66" t="s">
        <v>183</v>
      </c>
      <c r="D1" s="67"/>
      <c r="E1" s="67"/>
      <c r="F1" s="67"/>
      <c r="G1" s="67"/>
      <c r="H1" s="67"/>
      <c r="I1" s="67"/>
      <c r="J1" s="67"/>
      <c r="K1" s="67"/>
      <c r="L1" s="67"/>
      <c r="M1" s="68"/>
      <c r="N1" s="64"/>
      <c r="O1" s="64"/>
      <c r="P1" s="64"/>
      <c r="Q1" s="64"/>
      <c r="R1" s="64"/>
      <c r="S1" s="64"/>
      <c r="T1" s="64"/>
      <c r="U1" s="64"/>
      <c r="V1" s="64"/>
      <c r="W1" s="65"/>
      <c r="X1" s="65"/>
      <c r="Y1" s="65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</row>
    <row r="2" spans="1:40" x14ac:dyDescent="0.3">
      <c r="U2" s="140"/>
      <c r="V2" s="140"/>
      <c r="W2" s="140"/>
      <c r="X2" s="140"/>
    </row>
    <row r="3" spans="1:40" ht="13.5" thickBot="1" x14ac:dyDescent="0.35">
      <c r="T3" s="140"/>
      <c r="U3" s="145"/>
      <c r="V3" s="145"/>
      <c r="W3" s="145"/>
      <c r="X3" s="145"/>
    </row>
    <row r="4" spans="1:40" ht="13.5" thickBot="1" x14ac:dyDescent="0.35">
      <c r="Q4" s="181" t="s">
        <v>184</v>
      </c>
      <c r="R4" s="182"/>
      <c r="S4" s="182"/>
      <c r="T4" s="182"/>
      <c r="U4" s="182"/>
      <c r="V4" s="182"/>
      <c r="W4" s="182"/>
      <c r="X4" s="183"/>
    </row>
    <row r="5" spans="1:40" ht="27.75" customHeight="1" thickBot="1" x14ac:dyDescent="0.25">
      <c r="Q5" s="184" t="s">
        <v>222</v>
      </c>
      <c r="R5" s="185"/>
      <c r="S5" s="185"/>
      <c r="T5" s="185"/>
      <c r="U5" s="185"/>
      <c r="V5" s="185"/>
      <c r="W5" s="185"/>
      <c r="X5" s="186"/>
    </row>
    <row r="6" spans="1:40" x14ac:dyDescent="0.3">
      <c r="B6" s="29"/>
      <c r="U6" s="140"/>
      <c r="V6" s="140"/>
      <c r="W6" s="140"/>
      <c r="X6" s="140"/>
    </row>
    <row r="7" spans="1:40" x14ac:dyDescent="0.3">
      <c r="F7" s="177" t="s">
        <v>185</v>
      </c>
      <c r="G7" s="177"/>
      <c r="H7" s="177"/>
      <c r="I7" s="177"/>
      <c r="J7" s="177"/>
      <c r="K7" s="177"/>
      <c r="L7" s="177"/>
      <c r="U7" s="25"/>
      <c r="V7" s="70"/>
      <c r="W7" s="70"/>
      <c r="X7" s="70"/>
    </row>
    <row r="8" spans="1:40" x14ac:dyDescent="0.3">
      <c r="U8" s="25"/>
      <c r="V8" s="70"/>
      <c r="W8" s="70"/>
      <c r="X8" s="70"/>
    </row>
    <row r="9" spans="1:40" x14ac:dyDescent="0.3">
      <c r="A9" s="30"/>
      <c r="B9" s="31"/>
      <c r="C9" s="32"/>
      <c r="G9" s="31"/>
      <c r="H9" s="31"/>
      <c r="I9" s="31"/>
      <c r="J9" s="31"/>
      <c r="K9" s="31"/>
      <c r="L9" s="31"/>
      <c r="M9" s="31"/>
      <c r="N9" s="33"/>
      <c r="O9" s="33"/>
      <c r="P9" s="33"/>
      <c r="Q9" s="33"/>
      <c r="R9" s="33"/>
      <c r="S9" s="33"/>
      <c r="T9" s="34"/>
      <c r="U9" s="34"/>
      <c r="V9" s="31"/>
      <c r="W9" s="31"/>
      <c r="X9" s="31"/>
    </row>
    <row r="10" spans="1:40" s="22" customFormat="1" ht="63.75" x14ac:dyDescent="0.3">
      <c r="A10" s="156" t="s">
        <v>0</v>
      </c>
      <c r="B10" s="156" t="s">
        <v>1</v>
      </c>
      <c r="C10" s="156" t="s">
        <v>2</v>
      </c>
      <c r="D10" s="156" t="s">
        <v>17</v>
      </c>
      <c r="E10" s="156" t="s">
        <v>18</v>
      </c>
      <c r="F10" s="178" t="s">
        <v>19</v>
      </c>
      <c r="G10" s="156" t="s">
        <v>3</v>
      </c>
      <c r="H10" s="156" t="s">
        <v>4</v>
      </c>
      <c r="I10" s="156" t="s">
        <v>5</v>
      </c>
      <c r="J10" s="156" t="s">
        <v>6</v>
      </c>
      <c r="K10" s="156" t="s">
        <v>7</v>
      </c>
      <c r="L10" s="156" t="s">
        <v>8</v>
      </c>
      <c r="M10" s="156" t="s">
        <v>9</v>
      </c>
      <c r="N10" s="168" t="s">
        <v>10</v>
      </c>
      <c r="O10" s="169"/>
      <c r="P10" s="169"/>
      <c r="Q10" s="169"/>
      <c r="R10" s="170"/>
      <c r="S10" s="35" t="s">
        <v>11</v>
      </c>
      <c r="T10" s="35" t="s">
        <v>12</v>
      </c>
      <c r="U10" s="35" t="s">
        <v>13</v>
      </c>
      <c r="V10" s="35" t="s">
        <v>14</v>
      </c>
      <c r="W10" s="35" t="s">
        <v>15</v>
      </c>
      <c r="X10" s="35" t="s">
        <v>16</v>
      </c>
    </row>
    <row r="11" spans="1:40" s="22" customFormat="1" x14ac:dyDescent="0.3">
      <c r="A11" s="156"/>
      <c r="B11" s="156"/>
      <c r="C11" s="156"/>
      <c r="D11" s="156"/>
      <c r="E11" s="156"/>
      <c r="F11" s="179"/>
      <c r="G11" s="156"/>
      <c r="H11" s="156"/>
      <c r="I11" s="156"/>
      <c r="J11" s="156"/>
      <c r="K11" s="156"/>
      <c r="L11" s="156"/>
      <c r="M11" s="156"/>
      <c r="N11" s="171"/>
      <c r="O11" s="172"/>
      <c r="P11" s="172"/>
      <c r="Q11" s="172"/>
      <c r="R11" s="173"/>
      <c r="S11" s="35"/>
      <c r="T11" s="35"/>
      <c r="U11" s="35"/>
      <c r="V11" s="35"/>
      <c r="W11" s="35"/>
      <c r="X11" s="35"/>
    </row>
    <row r="12" spans="1:40" s="22" customFormat="1" x14ac:dyDescent="0.3">
      <c r="A12" s="156"/>
      <c r="B12" s="156"/>
      <c r="C12" s="156"/>
      <c r="D12" s="156"/>
      <c r="E12" s="156"/>
      <c r="F12" s="180"/>
      <c r="G12" s="156"/>
      <c r="H12" s="156"/>
      <c r="I12" s="156"/>
      <c r="J12" s="156"/>
      <c r="K12" s="156"/>
      <c r="L12" s="156"/>
      <c r="M12" s="156"/>
      <c r="N12" s="35" t="s">
        <v>32</v>
      </c>
      <c r="O12" s="35" t="s">
        <v>33</v>
      </c>
      <c r="P12" s="35" t="s">
        <v>34</v>
      </c>
      <c r="Q12" s="35" t="s">
        <v>36</v>
      </c>
      <c r="R12" s="35" t="s">
        <v>37</v>
      </c>
      <c r="S12" s="36"/>
      <c r="T12" s="36"/>
      <c r="U12" s="36"/>
      <c r="V12" s="36"/>
      <c r="W12" s="36"/>
      <c r="X12" s="36"/>
    </row>
    <row r="13" spans="1:40" s="38" customFormat="1" x14ac:dyDescent="0.3">
      <c r="A13" s="37">
        <v>1</v>
      </c>
      <c r="B13" s="35">
        <v>2</v>
      </c>
      <c r="C13" s="35">
        <v>3</v>
      </c>
      <c r="D13" s="35">
        <v>4</v>
      </c>
      <c r="E13" s="35">
        <v>5</v>
      </c>
      <c r="F13" s="35" t="s">
        <v>20</v>
      </c>
      <c r="G13" s="35">
        <v>7</v>
      </c>
      <c r="H13" s="35">
        <v>8</v>
      </c>
      <c r="I13" s="35">
        <v>9</v>
      </c>
      <c r="J13" s="35">
        <v>10</v>
      </c>
      <c r="K13" s="35">
        <v>11</v>
      </c>
      <c r="L13" s="35">
        <v>12</v>
      </c>
      <c r="M13" s="35">
        <v>13</v>
      </c>
      <c r="N13" s="174">
        <v>14</v>
      </c>
      <c r="O13" s="175"/>
      <c r="P13" s="175"/>
      <c r="Q13" s="175"/>
      <c r="R13" s="175"/>
      <c r="S13" s="35">
        <v>15</v>
      </c>
      <c r="T13" s="35">
        <v>16</v>
      </c>
      <c r="U13" s="35">
        <v>17</v>
      </c>
      <c r="V13" s="35">
        <v>18</v>
      </c>
      <c r="W13" s="35">
        <v>19</v>
      </c>
      <c r="X13" s="35">
        <v>20</v>
      </c>
    </row>
    <row r="14" spans="1:40" s="45" customFormat="1" x14ac:dyDescent="0.3">
      <c r="A14" s="39" t="s">
        <v>179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1"/>
      <c r="O14" s="41"/>
      <c r="P14" s="41"/>
      <c r="Q14" s="41"/>
      <c r="R14" s="42"/>
      <c r="S14" s="40"/>
      <c r="T14" s="43"/>
      <c r="U14" s="43"/>
      <c r="V14" s="40"/>
      <c r="W14" s="44"/>
      <c r="X14" s="44"/>
    </row>
    <row r="15" spans="1:40" s="22" customFormat="1" ht="165.75" x14ac:dyDescent="0.2">
      <c r="A15" s="18" t="s">
        <v>38</v>
      </c>
      <c r="B15" s="14" t="s">
        <v>26</v>
      </c>
      <c r="C15" s="19" t="s">
        <v>39</v>
      </c>
      <c r="D15" s="19" t="s">
        <v>40</v>
      </c>
      <c r="E15" s="19" t="s">
        <v>41</v>
      </c>
      <c r="F15" s="19" t="s">
        <v>42</v>
      </c>
      <c r="G15" s="4" t="s">
        <v>43</v>
      </c>
      <c r="H15" s="4">
        <v>0.5</v>
      </c>
      <c r="I15" s="5" t="s">
        <v>44</v>
      </c>
      <c r="J15" s="1" t="s">
        <v>45</v>
      </c>
      <c r="K15" s="6" t="s">
        <v>46</v>
      </c>
      <c r="L15" s="7" t="s">
        <v>47</v>
      </c>
      <c r="M15" s="8" t="s">
        <v>48</v>
      </c>
      <c r="N15" s="21">
        <v>0</v>
      </c>
      <c r="O15" s="9">
        <f>150+180+10+30</f>
        <v>370</v>
      </c>
      <c r="P15" s="9">
        <f>150+180+10+30</f>
        <v>370</v>
      </c>
      <c r="Q15" s="9">
        <f>150+180+10+30</f>
        <v>370</v>
      </c>
      <c r="R15" s="9">
        <f>150+180+10+30</f>
        <v>370</v>
      </c>
      <c r="S15" s="10">
        <v>1253.57</v>
      </c>
      <c r="T15" s="11">
        <f>(N15+O15+P15+Q15+R15)*S15</f>
        <v>1855283.5999999999</v>
      </c>
      <c r="U15" s="11">
        <f>T15*1.12</f>
        <v>2077917.632</v>
      </c>
      <c r="V15" s="6" t="s">
        <v>49</v>
      </c>
      <c r="W15" s="12" t="s">
        <v>33</v>
      </c>
      <c r="X15" s="13"/>
    </row>
    <row r="16" spans="1:40" s="22" customFormat="1" ht="76.5" x14ac:dyDescent="0.2">
      <c r="A16" s="18" t="s">
        <v>50</v>
      </c>
      <c r="B16" s="14" t="s">
        <v>26</v>
      </c>
      <c r="C16" s="1" t="s">
        <v>51</v>
      </c>
      <c r="D16" s="1" t="s">
        <v>40</v>
      </c>
      <c r="E16" s="2" t="s">
        <v>41</v>
      </c>
      <c r="F16" s="3" t="s">
        <v>52</v>
      </c>
      <c r="G16" s="15" t="s">
        <v>43</v>
      </c>
      <c r="H16" s="4">
        <v>0.5</v>
      </c>
      <c r="I16" s="5" t="s">
        <v>44</v>
      </c>
      <c r="J16" s="1" t="s">
        <v>45</v>
      </c>
      <c r="K16" s="6" t="s">
        <v>46</v>
      </c>
      <c r="L16" s="7" t="s">
        <v>47</v>
      </c>
      <c r="M16" s="8" t="s">
        <v>53</v>
      </c>
      <c r="N16" s="21">
        <v>0</v>
      </c>
      <c r="O16" s="9">
        <f>1788+1152+46+12+36+30-252</f>
        <v>2812</v>
      </c>
      <c r="P16" s="9">
        <f>1788+1152+46+12+36+30-252</f>
        <v>2812</v>
      </c>
      <c r="Q16" s="9">
        <f>1788+1152+46+12+36+30-252</f>
        <v>2812</v>
      </c>
      <c r="R16" s="9">
        <f>1788+1152+46+12+36+30-252</f>
        <v>2812</v>
      </c>
      <c r="S16" s="10">
        <v>417.86</v>
      </c>
      <c r="T16" s="11">
        <f t="shared" ref="T16:T52" si="0">(N16+O16+P16+Q16+R16)*S16</f>
        <v>4700089.28</v>
      </c>
      <c r="U16" s="11">
        <f t="shared" ref="U16:U52" si="1">T16*1.12</f>
        <v>5264099.9936000006</v>
      </c>
      <c r="V16" s="6" t="s">
        <v>49</v>
      </c>
      <c r="W16" s="12" t="s">
        <v>33</v>
      </c>
      <c r="X16" s="13"/>
    </row>
    <row r="17" spans="1:24" s="22" customFormat="1" ht="76.5" x14ac:dyDescent="0.2">
      <c r="A17" s="15" t="s">
        <v>54</v>
      </c>
      <c r="B17" s="14" t="s">
        <v>26</v>
      </c>
      <c r="C17" s="1" t="s">
        <v>55</v>
      </c>
      <c r="D17" s="1" t="s">
        <v>56</v>
      </c>
      <c r="E17" s="2" t="s">
        <v>57</v>
      </c>
      <c r="F17" s="3" t="s">
        <v>58</v>
      </c>
      <c r="G17" s="15" t="s">
        <v>43</v>
      </c>
      <c r="H17" s="4">
        <v>0.5</v>
      </c>
      <c r="I17" s="5" t="s">
        <v>44</v>
      </c>
      <c r="J17" s="1" t="s">
        <v>45</v>
      </c>
      <c r="K17" s="6" t="s">
        <v>46</v>
      </c>
      <c r="L17" s="7" t="s">
        <v>47</v>
      </c>
      <c r="M17" s="8" t="s">
        <v>53</v>
      </c>
      <c r="N17" s="21">
        <v>0</v>
      </c>
      <c r="O17" s="9">
        <f>1176+36+18+24+170</f>
        <v>1424</v>
      </c>
      <c r="P17" s="9">
        <f>1176+36+18+24+170</f>
        <v>1424</v>
      </c>
      <c r="Q17" s="9">
        <f>1176+36+18+24+170</f>
        <v>1424</v>
      </c>
      <c r="R17" s="9">
        <f>1176+36+18+24+170</f>
        <v>1424</v>
      </c>
      <c r="S17" s="10">
        <v>397.32</v>
      </c>
      <c r="T17" s="11">
        <f t="shared" si="0"/>
        <v>2263134.7199999997</v>
      </c>
      <c r="U17" s="11">
        <f t="shared" si="1"/>
        <v>2534710.8863999997</v>
      </c>
      <c r="V17" s="6" t="s">
        <v>49</v>
      </c>
      <c r="W17" s="12" t="s">
        <v>33</v>
      </c>
      <c r="X17" s="13"/>
    </row>
    <row r="18" spans="1:24" s="22" customFormat="1" ht="165.75" x14ac:dyDescent="0.2">
      <c r="A18" s="15" t="s">
        <v>59</v>
      </c>
      <c r="B18" s="14" t="s">
        <v>26</v>
      </c>
      <c r="C18" s="1" t="s">
        <v>55</v>
      </c>
      <c r="D18" s="1" t="s">
        <v>56</v>
      </c>
      <c r="E18" s="2" t="s">
        <v>57</v>
      </c>
      <c r="F18" s="3" t="s">
        <v>60</v>
      </c>
      <c r="G18" s="15" t="s">
        <v>43</v>
      </c>
      <c r="H18" s="4">
        <v>0.5</v>
      </c>
      <c r="I18" s="5" t="s">
        <v>44</v>
      </c>
      <c r="J18" s="1" t="s">
        <v>45</v>
      </c>
      <c r="K18" s="6" t="s">
        <v>46</v>
      </c>
      <c r="L18" s="7" t="s">
        <v>47</v>
      </c>
      <c r="M18" s="8" t="s">
        <v>53</v>
      </c>
      <c r="N18" s="21">
        <v>0</v>
      </c>
      <c r="O18" s="9">
        <f>3642-504</f>
        <v>3138</v>
      </c>
      <c r="P18" s="9">
        <f>3642-504</f>
        <v>3138</v>
      </c>
      <c r="Q18" s="9">
        <f>3642-504</f>
        <v>3138</v>
      </c>
      <c r="R18" s="9">
        <f>3642-504</f>
        <v>3138</v>
      </c>
      <c r="S18" s="10">
        <v>438.39</v>
      </c>
      <c r="T18" s="11">
        <f t="shared" si="0"/>
        <v>5502671.2800000003</v>
      </c>
      <c r="U18" s="11">
        <f t="shared" si="1"/>
        <v>6162991.8336000005</v>
      </c>
      <c r="V18" s="6" t="s">
        <v>49</v>
      </c>
      <c r="W18" s="12" t="s">
        <v>33</v>
      </c>
      <c r="X18" s="13"/>
    </row>
    <row r="19" spans="1:24" s="22" customFormat="1" ht="140.25" x14ac:dyDescent="0.2">
      <c r="A19" s="15" t="s">
        <v>61</v>
      </c>
      <c r="B19" s="14" t="s">
        <v>26</v>
      </c>
      <c r="C19" s="1" t="s">
        <v>62</v>
      </c>
      <c r="D19" s="1" t="s">
        <v>63</v>
      </c>
      <c r="E19" s="2" t="s">
        <v>64</v>
      </c>
      <c r="F19" s="3" t="s">
        <v>65</v>
      </c>
      <c r="G19" s="15" t="s">
        <v>43</v>
      </c>
      <c r="H19" s="4">
        <v>0.5</v>
      </c>
      <c r="I19" s="5" t="s">
        <v>44</v>
      </c>
      <c r="J19" s="1" t="s">
        <v>45</v>
      </c>
      <c r="K19" s="6" t="s">
        <v>46</v>
      </c>
      <c r="L19" s="7" t="s">
        <v>47</v>
      </c>
      <c r="M19" s="8" t="s">
        <v>53</v>
      </c>
      <c r="N19" s="21">
        <v>0</v>
      </c>
      <c r="O19" s="9">
        <f>2707+1176+36+18+24+170-468</f>
        <v>3663</v>
      </c>
      <c r="P19" s="9">
        <f>2707+1176+36+18+24+170-468</f>
        <v>3663</v>
      </c>
      <c r="Q19" s="9">
        <f>2707+1176+36+18+24+170-468</f>
        <v>3663</v>
      </c>
      <c r="R19" s="9">
        <f>2707+1176+36+18+24+170-468</f>
        <v>3663</v>
      </c>
      <c r="S19" s="10">
        <v>651.79</v>
      </c>
      <c r="T19" s="11">
        <f t="shared" si="0"/>
        <v>9550027.0800000001</v>
      </c>
      <c r="U19" s="11">
        <f t="shared" si="1"/>
        <v>10696030.329600001</v>
      </c>
      <c r="V19" s="6" t="s">
        <v>49</v>
      </c>
      <c r="W19" s="12" t="s">
        <v>33</v>
      </c>
      <c r="X19" s="13"/>
    </row>
    <row r="20" spans="1:24" s="22" customFormat="1" ht="216.75" x14ac:dyDescent="0.2">
      <c r="A20" s="15" t="s">
        <v>66</v>
      </c>
      <c r="B20" s="14" t="s">
        <v>26</v>
      </c>
      <c r="C20" s="1" t="s">
        <v>67</v>
      </c>
      <c r="D20" s="1" t="s">
        <v>68</v>
      </c>
      <c r="E20" s="2" t="s">
        <v>69</v>
      </c>
      <c r="F20" s="3" t="s">
        <v>70</v>
      </c>
      <c r="G20" s="15" t="s">
        <v>43</v>
      </c>
      <c r="H20" s="4">
        <v>0.5</v>
      </c>
      <c r="I20" s="5" t="s">
        <v>44</v>
      </c>
      <c r="J20" s="1" t="s">
        <v>45</v>
      </c>
      <c r="K20" s="6" t="s">
        <v>46</v>
      </c>
      <c r="L20" s="7" t="s">
        <v>47</v>
      </c>
      <c r="M20" s="8" t="s">
        <v>53</v>
      </c>
      <c r="N20" s="21">
        <v>0</v>
      </c>
      <c r="O20" s="9">
        <f>1788+1176+48+24+48+200-252</f>
        <v>3032</v>
      </c>
      <c r="P20" s="9">
        <f>1788+1176+48+24+48+200-252</f>
        <v>3032</v>
      </c>
      <c r="Q20" s="9">
        <f>1788+1176+48+24+48+200-252</f>
        <v>3032</v>
      </c>
      <c r="R20" s="9">
        <f>1788+1176+48+24+48+200-252</f>
        <v>3032</v>
      </c>
      <c r="S20" s="10">
        <v>128.57</v>
      </c>
      <c r="T20" s="11">
        <f t="shared" si="0"/>
        <v>1559296.96</v>
      </c>
      <c r="U20" s="11">
        <f t="shared" si="1"/>
        <v>1746412.5952000001</v>
      </c>
      <c r="V20" s="6" t="s">
        <v>49</v>
      </c>
      <c r="W20" s="12" t="s">
        <v>33</v>
      </c>
      <c r="X20" s="13"/>
    </row>
    <row r="21" spans="1:24" s="22" customFormat="1" ht="76.5" x14ac:dyDescent="0.2">
      <c r="A21" s="15" t="s">
        <v>71</v>
      </c>
      <c r="B21" s="14" t="s">
        <v>26</v>
      </c>
      <c r="C21" s="3" t="s">
        <v>72</v>
      </c>
      <c r="D21" s="3" t="s">
        <v>73</v>
      </c>
      <c r="E21" s="3" t="s">
        <v>74</v>
      </c>
      <c r="F21" s="3" t="s">
        <v>75</v>
      </c>
      <c r="G21" s="15" t="s">
        <v>43</v>
      </c>
      <c r="H21" s="4">
        <v>0.5</v>
      </c>
      <c r="I21" s="5" t="s">
        <v>44</v>
      </c>
      <c r="J21" s="1" t="s">
        <v>45</v>
      </c>
      <c r="K21" s="6" t="s">
        <v>46</v>
      </c>
      <c r="L21" s="7" t="s">
        <v>47</v>
      </c>
      <c r="M21" s="8" t="s">
        <v>76</v>
      </c>
      <c r="N21" s="21">
        <v>0</v>
      </c>
      <c r="O21" s="9">
        <f>4368+470+10+19+40+336-504</f>
        <v>4739</v>
      </c>
      <c r="P21" s="9">
        <f>4368+470+10+19+40+336-504</f>
        <v>4739</v>
      </c>
      <c r="Q21" s="9">
        <f>4368+470+10+19+40+336-504</f>
        <v>4739</v>
      </c>
      <c r="R21" s="9">
        <f>4368+470+10+19+40+336-504</f>
        <v>4739</v>
      </c>
      <c r="S21" s="10">
        <v>73.209999999999994</v>
      </c>
      <c r="T21" s="11">
        <f t="shared" si="0"/>
        <v>1387768.7599999998</v>
      </c>
      <c r="U21" s="11">
        <f t="shared" si="1"/>
        <v>1554301.0111999998</v>
      </c>
      <c r="V21" s="6" t="s">
        <v>49</v>
      </c>
      <c r="W21" s="12" t="s">
        <v>33</v>
      </c>
      <c r="X21" s="13"/>
    </row>
    <row r="22" spans="1:24" s="22" customFormat="1" ht="318.75" x14ac:dyDescent="0.2">
      <c r="A22" s="15" t="s">
        <v>77</v>
      </c>
      <c r="B22" s="14" t="s">
        <v>26</v>
      </c>
      <c r="C22" s="1" t="s">
        <v>78</v>
      </c>
      <c r="D22" s="1" t="s">
        <v>79</v>
      </c>
      <c r="E22" s="2" t="s">
        <v>80</v>
      </c>
      <c r="F22" s="3" t="s">
        <v>81</v>
      </c>
      <c r="G22" s="15" t="s">
        <v>43</v>
      </c>
      <c r="H22" s="4">
        <v>0.5</v>
      </c>
      <c r="I22" s="5" t="s">
        <v>44</v>
      </c>
      <c r="J22" s="1" t="s">
        <v>45</v>
      </c>
      <c r="K22" s="6" t="s">
        <v>46</v>
      </c>
      <c r="L22" s="7" t="s">
        <v>47</v>
      </c>
      <c r="M22" s="8" t="s">
        <v>76</v>
      </c>
      <c r="N22" s="21">
        <v>0</v>
      </c>
      <c r="O22" s="9">
        <f>880+420+4+72+288</f>
        <v>1664</v>
      </c>
      <c r="P22" s="9">
        <f>880+420+4+72+288</f>
        <v>1664</v>
      </c>
      <c r="Q22" s="9">
        <f>880+420+4+72+288</f>
        <v>1664</v>
      </c>
      <c r="R22" s="9">
        <f>880+420+4+72+288</f>
        <v>1664</v>
      </c>
      <c r="S22" s="10">
        <v>397</v>
      </c>
      <c r="T22" s="11">
        <f t="shared" si="0"/>
        <v>2642432</v>
      </c>
      <c r="U22" s="11">
        <f t="shared" si="1"/>
        <v>2959523.8400000003</v>
      </c>
      <c r="V22" s="6" t="s">
        <v>49</v>
      </c>
      <c r="W22" s="12" t="s">
        <v>33</v>
      </c>
      <c r="X22" s="13"/>
    </row>
    <row r="23" spans="1:24" s="22" customFormat="1" ht="153" x14ac:dyDescent="0.2">
      <c r="A23" s="15" t="s">
        <v>82</v>
      </c>
      <c r="B23" s="14" t="s">
        <v>26</v>
      </c>
      <c r="C23" s="1" t="s">
        <v>83</v>
      </c>
      <c r="D23" s="1" t="s">
        <v>79</v>
      </c>
      <c r="E23" s="2" t="s">
        <v>80</v>
      </c>
      <c r="F23" s="3" t="s">
        <v>84</v>
      </c>
      <c r="G23" s="15" t="s">
        <v>43</v>
      </c>
      <c r="H23" s="4">
        <v>0.5</v>
      </c>
      <c r="I23" s="5" t="s">
        <v>44</v>
      </c>
      <c r="J23" s="1" t="s">
        <v>45</v>
      </c>
      <c r="K23" s="6" t="s">
        <v>46</v>
      </c>
      <c r="L23" s="7" t="s">
        <v>47</v>
      </c>
      <c r="M23" s="8" t="s">
        <v>48</v>
      </c>
      <c r="N23" s="21">
        <v>0</v>
      </c>
      <c r="O23" s="9">
        <f>3025+960+198+12+332+71</f>
        <v>4598</v>
      </c>
      <c r="P23" s="9">
        <f>3025+960+198+12+332+71</f>
        <v>4598</v>
      </c>
      <c r="Q23" s="9">
        <f>3025+960+198+12+332+71</f>
        <v>4598</v>
      </c>
      <c r="R23" s="9">
        <f>3025+960+198+12+332+71</f>
        <v>4598</v>
      </c>
      <c r="S23" s="10">
        <v>305</v>
      </c>
      <c r="T23" s="11">
        <f t="shared" si="0"/>
        <v>5609560</v>
      </c>
      <c r="U23" s="11">
        <f t="shared" si="1"/>
        <v>6282707.2000000002</v>
      </c>
      <c r="V23" s="6" t="s">
        <v>49</v>
      </c>
      <c r="W23" s="12" t="s">
        <v>33</v>
      </c>
      <c r="X23" s="13"/>
    </row>
    <row r="24" spans="1:24" s="22" customFormat="1" ht="165.75" x14ac:dyDescent="0.2">
      <c r="A24" s="15" t="s">
        <v>85</v>
      </c>
      <c r="B24" s="14" t="s">
        <v>26</v>
      </c>
      <c r="C24" s="1" t="s">
        <v>86</v>
      </c>
      <c r="D24" s="1" t="s">
        <v>87</v>
      </c>
      <c r="E24" s="2" t="s">
        <v>88</v>
      </c>
      <c r="F24" s="3" t="s">
        <v>89</v>
      </c>
      <c r="G24" s="15" t="s">
        <v>43</v>
      </c>
      <c r="H24" s="4">
        <v>0.5</v>
      </c>
      <c r="I24" s="5" t="s">
        <v>44</v>
      </c>
      <c r="J24" s="1" t="s">
        <v>45</v>
      </c>
      <c r="K24" s="6" t="s">
        <v>46</v>
      </c>
      <c r="L24" s="7" t="s">
        <v>47</v>
      </c>
      <c r="M24" s="8" t="s">
        <v>76</v>
      </c>
      <c r="N24" s="21">
        <v>0</v>
      </c>
      <c r="O24" s="9">
        <f>5+288+20</f>
        <v>313</v>
      </c>
      <c r="P24" s="9">
        <f>5+288+20</f>
        <v>313</v>
      </c>
      <c r="Q24" s="9">
        <f>5+288+20</f>
        <v>313</v>
      </c>
      <c r="R24" s="9">
        <f>5+288+20</f>
        <v>313</v>
      </c>
      <c r="S24" s="10">
        <v>616.07000000000005</v>
      </c>
      <c r="T24" s="11">
        <f t="shared" si="0"/>
        <v>771319.64</v>
      </c>
      <c r="U24" s="11">
        <f t="shared" si="1"/>
        <v>863877.99680000008</v>
      </c>
      <c r="V24" s="6" t="s">
        <v>49</v>
      </c>
      <c r="W24" s="12" t="s">
        <v>33</v>
      </c>
      <c r="X24" s="13"/>
    </row>
    <row r="25" spans="1:24" s="22" customFormat="1" ht="114.75" x14ac:dyDescent="0.2">
      <c r="A25" s="15" t="s">
        <v>90</v>
      </c>
      <c r="B25" s="14" t="s">
        <v>26</v>
      </c>
      <c r="C25" s="1" t="s">
        <v>91</v>
      </c>
      <c r="D25" s="1" t="s">
        <v>92</v>
      </c>
      <c r="E25" s="2" t="s">
        <v>93</v>
      </c>
      <c r="F25" s="3" t="s">
        <v>94</v>
      </c>
      <c r="G25" s="15" t="s">
        <v>43</v>
      </c>
      <c r="H25" s="4">
        <v>0.5</v>
      </c>
      <c r="I25" s="5" t="s">
        <v>44</v>
      </c>
      <c r="J25" s="1" t="s">
        <v>45</v>
      </c>
      <c r="K25" s="6" t="s">
        <v>46</v>
      </c>
      <c r="L25" s="7" t="s">
        <v>47</v>
      </c>
      <c r="M25" s="8" t="s">
        <v>76</v>
      </c>
      <c r="N25" s="21">
        <v>0</v>
      </c>
      <c r="O25" s="9">
        <f>250+1220+7+48+24+600</f>
        <v>2149</v>
      </c>
      <c r="P25" s="9">
        <f>250+1220+7+48+24+600</f>
        <v>2149</v>
      </c>
      <c r="Q25" s="9">
        <f>250+1220+7+48+24+600</f>
        <v>2149</v>
      </c>
      <c r="R25" s="9">
        <f>250+1220+7+48+24+600</f>
        <v>2149</v>
      </c>
      <c r="S25" s="10">
        <v>361.61</v>
      </c>
      <c r="T25" s="11">
        <f t="shared" si="0"/>
        <v>3108399.56</v>
      </c>
      <c r="U25" s="11">
        <f t="shared" si="1"/>
        <v>3481407.5072000003</v>
      </c>
      <c r="V25" s="6" t="s">
        <v>49</v>
      </c>
      <c r="W25" s="12" t="s">
        <v>33</v>
      </c>
      <c r="X25" s="13"/>
    </row>
    <row r="26" spans="1:24" s="22" customFormat="1" ht="102" x14ac:dyDescent="0.2">
      <c r="A26" s="15" t="s">
        <v>95</v>
      </c>
      <c r="B26" s="14" t="s">
        <v>26</v>
      </c>
      <c r="C26" s="1" t="s">
        <v>91</v>
      </c>
      <c r="D26" s="1" t="s">
        <v>92</v>
      </c>
      <c r="E26" s="2" t="s">
        <v>93</v>
      </c>
      <c r="F26" s="3" t="s">
        <v>96</v>
      </c>
      <c r="G26" s="15" t="s">
        <v>43</v>
      </c>
      <c r="H26" s="4">
        <v>0.5</v>
      </c>
      <c r="I26" s="5" t="s">
        <v>44</v>
      </c>
      <c r="J26" s="1" t="s">
        <v>45</v>
      </c>
      <c r="K26" s="6" t="s">
        <v>46</v>
      </c>
      <c r="L26" s="7" t="s">
        <v>47</v>
      </c>
      <c r="M26" s="8" t="s">
        <v>76</v>
      </c>
      <c r="N26" s="21">
        <v>0</v>
      </c>
      <c r="O26" s="9">
        <f>1056+118</f>
        <v>1174</v>
      </c>
      <c r="P26" s="9">
        <f>1056+118</f>
        <v>1174</v>
      </c>
      <c r="Q26" s="9">
        <f>1056+118</f>
        <v>1174</v>
      </c>
      <c r="R26" s="9">
        <f>1056+118</f>
        <v>1174</v>
      </c>
      <c r="S26" s="10">
        <v>831.25</v>
      </c>
      <c r="T26" s="11">
        <f t="shared" si="0"/>
        <v>3903550</v>
      </c>
      <c r="U26" s="11">
        <f t="shared" si="1"/>
        <v>4371976</v>
      </c>
      <c r="V26" s="6" t="s">
        <v>49</v>
      </c>
      <c r="W26" s="12" t="s">
        <v>33</v>
      </c>
      <c r="X26" s="13"/>
    </row>
    <row r="27" spans="1:24" s="22" customFormat="1" ht="255" x14ac:dyDescent="0.2">
      <c r="A27" s="15" t="s">
        <v>97</v>
      </c>
      <c r="B27" s="14" t="s">
        <v>26</v>
      </c>
      <c r="C27" s="1" t="s">
        <v>98</v>
      </c>
      <c r="D27" s="1" t="s">
        <v>99</v>
      </c>
      <c r="E27" s="2" t="s">
        <v>100</v>
      </c>
      <c r="F27" s="3" t="s">
        <v>101</v>
      </c>
      <c r="G27" s="15" t="s">
        <v>43</v>
      </c>
      <c r="H27" s="4">
        <v>0.5</v>
      </c>
      <c r="I27" s="5" t="s">
        <v>44</v>
      </c>
      <c r="J27" s="1" t="s">
        <v>45</v>
      </c>
      <c r="K27" s="6" t="s">
        <v>46</v>
      </c>
      <c r="L27" s="7" t="s">
        <v>47</v>
      </c>
      <c r="M27" s="8" t="s">
        <v>53</v>
      </c>
      <c r="N27" s="21">
        <v>0</v>
      </c>
      <c r="O27" s="9">
        <f>840+720+72+12</f>
        <v>1644</v>
      </c>
      <c r="P27" s="9">
        <f>840+720+72+12</f>
        <v>1644</v>
      </c>
      <c r="Q27" s="9">
        <f>840+720+72+12</f>
        <v>1644</v>
      </c>
      <c r="R27" s="9">
        <f>840+720+72+12</f>
        <v>1644</v>
      </c>
      <c r="S27" s="10">
        <v>341.96</v>
      </c>
      <c r="T27" s="11">
        <f t="shared" si="0"/>
        <v>2248728.96</v>
      </c>
      <c r="U27" s="11">
        <f t="shared" si="1"/>
        <v>2518576.4352000002</v>
      </c>
      <c r="V27" s="6" t="s">
        <v>49</v>
      </c>
      <c r="W27" s="12" t="s">
        <v>33</v>
      </c>
      <c r="X27" s="13"/>
    </row>
    <row r="28" spans="1:24" s="22" customFormat="1" ht="76.5" x14ac:dyDescent="0.2">
      <c r="A28" s="15" t="s">
        <v>102</v>
      </c>
      <c r="B28" s="14" t="s">
        <v>26</v>
      </c>
      <c r="C28" s="3" t="s">
        <v>103</v>
      </c>
      <c r="D28" s="3" t="s">
        <v>104</v>
      </c>
      <c r="E28" s="3" t="s">
        <v>105</v>
      </c>
      <c r="F28" s="3" t="s">
        <v>106</v>
      </c>
      <c r="G28" s="15" t="s">
        <v>43</v>
      </c>
      <c r="H28" s="4">
        <v>0.5</v>
      </c>
      <c r="I28" s="5" t="s">
        <v>44</v>
      </c>
      <c r="J28" s="1" t="s">
        <v>45</v>
      </c>
      <c r="K28" s="6" t="s">
        <v>46</v>
      </c>
      <c r="L28" s="7" t="s">
        <v>47</v>
      </c>
      <c r="M28" s="8" t="s">
        <v>107</v>
      </c>
      <c r="N28" s="21">
        <v>0</v>
      </c>
      <c r="O28" s="9">
        <f>8976+85000+600+2772+1140+1320-4600</f>
        <v>95208</v>
      </c>
      <c r="P28" s="9">
        <f>8976+85000+600+2772+1140+1320-4600</f>
        <v>95208</v>
      </c>
      <c r="Q28" s="9">
        <f>8976+85000+600+2772+1140+1320-4600</f>
        <v>95208</v>
      </c>
      <c r="R28" s="9">
        <f>8976+85000+600+2772+1140+1320-4600</f>
        <v>95208</v>
      </c>
      <c r="S28" s="10">
        <v>62.5</v>
      </c>
      <c r="T28" s="11">
        <f t="shared" si="0"/>
        <v>23802000</v>
      </c>
      <c r="U28" s="11">
        <f t="shared" si="1"/>
        <v>26658240.000000004</v>
      </c>
      <c r="V28" s="6" t="s">
        <v>49</v>
      </c>
      <c r="W28" s="12" t="s">
        <v>33</v>
      </c>
      <c r="X28" s="13"/>
    </row>
    <row r="29" spans="1:24" s="22" customFormat="1" ht="76.5" x14ac:dyDescent="0.2">
      <c r="A29" s="15" t="s">
        <v>108</v>
      </c>
      <c r="B29" s="14" t="s">
        <v>26</v>
      </c>
      <c r="C29" s="1" t="s">
        <v>109</v>
      </c>
      <c r="D29" s="1" t="s">
        <v>104</v>
      </c>
      <c r="E29" s="2" t="s">
        <v>110</v>
      </c>
      <c r="F29" s="3" t="s">
        <v>111</v>
      </c>
      <c r="G29" s="15" t="s">
        <v>43</v>
      </c>
      <c r="H29" s="4">
        <v>0.5</v>
      </c>
      <c r="I29" s="5" t="s">
        <v>44</v>
      </c>
      <c r="J29" s="1" t="s">
        <v>45</v>
      </c>
      <c r="K29" s="6" t="s">
        <v>46</v>
      </c>
      <c r="L29" s="7" t="s">
        <v>47</v>
      </c>
      <c r="M29" s="8" t="s">
        <v>107</v>
      </c>
      <c r="N29" s="21">
        <v>0</v>
      </c>
      <c r="O29" s="9">
        <f>12816+2300</f>
        <v>15116</v>
      </c>
      <c r="P29" s="9">
        <f>12816+2300</f>
        <v>15116</v>
      </c>
      <c r="Q29" s="9">
        <f>12816+2300</f>
        <v>15116</v>
      </c>
      <c r="R29" s="9">
        <f>12816+2300</f>
        <v>15116</v>
      </c>
      <c r="S29" s="10">
        <v>504.46</v>
      </c>
      <c r="T29" s="11">
        <f t="shared" si="0"/>
        <v>30501669.439999998</v>
      </c>
      <c r="U29" s="11">
        <f t="shared" si="1"/>
        <v>34161869.772799999</v>
      </c>
      <c r="V29" s="6" t="s">
        <v>49</v>
      </c>
      <c r="W29" s="12" t="s">
        <v>33</v>
      </c>
      <c r="X29" s="13"/>
    </row>
    <row r="30" spans="1:24" s="22" customFormat="1" ht="76.5" x14ac:dyDescent="0.2">
      <c r="A30" s="15" t="s">
        <v>112</v>
      </c>
      <c r="B30" s="14" t="s">
        <v>26</v>
      </c>
      <c r="C30" s="1" t="s">
        <v>113</v>
      </c>
      <c r="D30" s="1" t="s">
        <v>114</v>
      </c>
      <c r="E30" s="2" t="s">
        <v>115</v>
      </c>
      <c r="F30" s="3" t="s">
        <v>116</v>
      </c>
      <c r="G30" s="15" t="s">
        <v>43</v>
      </c>
      <c r="H30" s="4">
        <v>0.5</v>
      </c>
      <c r="I30" s="5" t="s">
        <v>44</v>
      </c>
      <c r="J30" s="1" t="s">
        <v>45</v>
      </c>
      <c r="K30" s="6" t="s">
        <v>46</v>
      </c>
      <c r="L30" s="7" t="s">
        <v>47</v>
      </c>
      <c r="M30" s="8" t="s">
        <v>107</v>
      </c>
      <c r="N30" s="21">
        <v>0</v>
      </c>
      <c r="O30" s="9">
        <f>8208+2200+2500-400</f>
        <v>12508</v>
      </c>
      <c r="P30" s="9">
        <f>8208+2200+2500-400</f>
        <v>12508</v>
      </c>
      <c r="Q30" s="9">
        <f>8208+2200+2500-400</f>
        <v>12508</v>
      </c>
      <c r="R30" s="9">
        <f>8208+2200+2500-400</f>
        <v>12508</v>
      </c>
      <c r="S30" s="10">
        <v>1321</v>
      </c>
      <c r="T30" s="11">
        <f t="shared" si="0"/>
        <v>66092272</v>
      </c>
      <c r="U30" s="11">
        <f t="shared" si="1"/>
        <v>74023344.640000001</v>
      </c>
      <c r="V30" s="6" t="s">
        <v>49</v>
      </c>
      <c r="W30" s="12" t="s">
        <v>33</v>
      </c>
      <c r="X30" s="13"/>
    </row>
    <row r="31" spans="1:24" s="22" customFormat="1" ht="89.25" x14ac:dyDescent="0.2">
      <c r="A31" s="15" t="s">
        <v>117</v>
      </c>
      <c r="B31" s="14" t="s">
        <v>26</v>
      </c>
      <c r="C31" s="1" t="s">
        <v>118</v>
      </c>
      <c r="D31" s="1" t="s">
        <v>119</v>
      </c>
      <c r="E31" s="2" t="s">
        <v>120</v>
      </c>
      <c r="F31" s="3" t="s">
        <v>121</v>
      </c>
      <c r="G31" s="15" t="s">
        <v>43</v>
      </c>
      <c r="H31" s="4">
        <v>0.5</v>
      </c>
      <c r="I31" s="5" t="s">
        <v>44</v>
      </c>
      <c r="J31" s="1" t="s">
        <v>45</v>
      </c>
      <c r="K31" s="6" t="s">
        <v>46</v>
      </c>
      <c r="L31" s="7" t="s">
        <v>47</v>
      </c>
      <c r="M31" s="8" t="s">
        <v>122</v>
      </c>
      <c r="N31" s="21">
        <v>0</v>
      </c>
      <c r="O31" s="9">
        <f>1512+500+1788</f>
        <v>3800</v>
      </c>
      <c r="P31" s="9">
        <f>1512+500+1788</f>
        <v>3800</v>
      </c>
      <c r="Q31" s="9">
        <f>1512+500+1788</f>
        <v>3800</v>
      </c>
      <c r="R31" s="9">
        <f>1512+500+1788</f>
        <v>3800</v>
      </c>
      <c r="S31" s="10">
        <v>349.11</v>
      </c>
      <c r="T31" s="11">
        <f t="shared" si="0"/>
        <v>5306472</v>
      </c>
      <c r="U31" s="11">
        <f t="shared" si="1"/>
        <v>5943248.6400000006</v>
      </c>
      <c r="V31" s="6" t="s">
        <v>49</v>
      </c>
      <c r="W31" s="12" t="s">
        <v>33</v>
      </c>
      <c r="X31" s="13"/>
    </row>
    <row r="32" spans="1:24" s="22" customFormat="1" ht="76.5" x14ac:dyDescent="0.2">
      <c r="A32" s="15" t="s">
        <v>123</v>
      </c>
      <c r="B32" s="14" t="s">
        <v>26</v>
      </c>
      <c r="C32" s="1" t="s">
        <v>118</v>
      </c>
      <c r="D32" s="1" t="s">
        <v>119</v>
      </c>
      <c r="E32" s="2" t="s">
        <v>120</v>
      </c>
      <c r="F32" s="3" t="s">
        <v>124</v>
      </c>
      <c r="G32" s="15" t="s">
        <v>43</v>
      </c>
      <c r="H32" s="4">
        <v>0.5</v>
      </c>
      <c r="I32" s="5" t="s">
        <v>44</v>
      </c>
      <c r="J32" s="1" t="s">
        <v>45</v>
      </c>
      <c r="K32" s="6" t="s">
        <v>46</v>
      </c>
      <c r="L32" s="7" t="s">
        <v>47</v>
      </c>
      <c r="M32" s="8" t="s">
        <v>122</v>
      </c>
      <c r="N32" s="21">
        <v>0</v>
      </c>
      <c r="O32" s="9">
        <f>3600+3840</f>
        <v>7440</v>
      </c>
      <c r="P32" s="9">
        <f>3600+3840</f>
        <v>7440</v>
      </c>
      <c r="Q32" s="9">
        <f>3600+3840</f>
        <v>7440</v>
      </c>
      <c r="R32" s="9">
        <f>3600+3840</f>
        <v>7440</v>
      </c>
      <c r="S32" s="10">
        <v>66.959999999999994</v>
      </c>
      <c r="T32" s="11">
        <f t="shared" si="0"/>
        <v>1992729.5999999999</v>
      </c>
      <c r="U32" s="11">
        <f t="shared" si="1"/>
        <v>2231857.1520000002</v>
      </c>
      <c r="V32" s="6" t="s">
        <v>49</v>
      </c>
      <c r="W32" s="12" t="s">
        <v>33</v>
      </c>
      <c r="X32" s="13"/>
    </row>
    <row r="33" spans="1:24" s="22" customFormat="1" ht="102" x14ac:dyDescent="0.2">
      <c r="A33" s="15" t="s">
        <v>125</v>
      </c>
      <c r="B33" s="14" t="s">
        <v>26</v>
      </c>
      <c r="C33" s="1" t="s">
        <v>118</v>
      </c>
      <c r="D33" s="1" t="s">
        <v>119</v>
      </c>
      <c r="E33" s="2" t="s">
        <v>120</v>
      </c>
      <c r="F33" s="3" t="s">
        <v>126</v>
      </c>
      <c r="G33" s="15" t="s">
        <v>43</v>
      </c>
      <c r="H33" s="4">
        <v>0.5</v>
      </c>
      <c r="I33" s="5" t="s">
        <v>44</v>
      </c>
      <c r="J33" s="1" t="s">
        <v>45</v>
      </c>
      <c r="K33" s="6" t="s">
        <v>46</v>
      </c>
      <c r="L33" s="7" t="s">
        <v>47</v>
      </c>
      <c r="M33" s="8" t="s">
        <v>122</v>
      </c>
      <c r="N33" s="21">
        <v>0</v>
      </c>
      <c r="O33" s="9">
        <f>4760+600+100</f>
        <v>5460</v>
      </c>
      <c r="P33" s="9">
        <f>4760+600+100</f>
        <v>5460</v>
      </c>
      <c r="Q33" s="9">
        <f>4760+600+100</f>
        <v>5460</v>
      </c>
      <c r="R33" s="9">
        <f>4760+600+100</f>
        <v>5460</v>
      </c>
      <c r="S33" s="10">
        <v>329.46</v>
      </c>
      <c r="T33" s="11">
        <f t="shared" si="0"/>
        <v>7195406.3999999994</v>
      </c>
      <c r="U33" s="11">
        <f t="shared" si="1"/>
        <v>8058855.1680000005</v>
      </c>
      <c r="V33" s="6" t="s">
        <v>49</v>
      </c>
      <c r="W33" s="12" t="s">
        <v>33</v>
      </c>
      <c r="X33" s="13"/>
    </row>
    <row r="34" spans="1:24" s="22" customFormat="1" ht="76.5" x14ac:dyDescent="0.2">
      <c r="A34" s="15" t="s">
        <v>127</v>
      </c>
      <c r="B34" s="14" t="s">
        <v>26</v>
      </c>
      <c r="C34" s="1" t="s">
        <v>118</v>
      </c>
      <c r="D34" s="1" t="s">
        <v>119</v>
      </c>
      <c r="E34" s="2" t="s">
        <v>120</v>
      </c>
      <c r="F34" s="3" t="s">
        <v>128</v>
      </c>
      <c r="G34" s="15" t="s">
        <v>43</v>
      </c>
      <c r="H34" s="4">
        <v>0.5</v>
      </c>
      <c r="I34" s="5" t="s">
        <v>44</v>
      </c>
      <c r="J34" s="1" t="s">
        <v>45</v>
      </c>
      <c r="K34" s="6" t="s">
        <v>46</v>
      </c>
      <c r="L34" s="7" t="s">
        <v>47</v>
      </c>
      <c r="M34" s="8" t="s">
        <v>122</v>
      </c>
      <c r="N34" s="21">
        <v>0</v>
      </c>
      <c r="O34" s="9">
        <f>3600+500+1224+12</f>
        <v>5336</v>
      </c>
      <c r="P34" s="9">
        <f>3600+500+1224+12</f>
        <v>5336</v>
      </c>
      <c r="Q34" s="9">
        <f>3600+500+1224+12</f>
        <v>5336</v>
      </c>
      <c r="R34" s="9">
        <f>3600+500+1224+12</f>
        <v>5336</v>
      </c>
      <c r="S34" s="10">
        <v>329.46</v>
      </c>
      <c r="T34" s="11">
        <f t="shared" si="0"/>
        <v>7031994.2399999993</v>
      </c>
      <c r="U34" s="11">
        <f t="shared" si="1"/>
        <v>7875833.5488</v>
      </c>
      <c r="V34" s="6" t="s">
        <v>49</v>
      </c>
      <c r="W34" s="12" t="s">
        <v>33</v>
      </c>
      <c r="X34" s="13"/>
    </row>
    <row r="35" spans="1:24" s="22" customFormat="1" ht="76.5" x14ac:dyDescent="0.2">
      <c r="A35" s="15" t="s">
        <v>129</v>
      </c>
      <c r="B35" s="14" t="s">
        <v>26</v>
      </c>
      <c r="C35" s="1" t="s">
        <v>113</v>
      </c>
      <c r="D35" s="1" t="s">
        <v>114</v>
      </c>
      <c r="E35" s="2" t="s">
        <v>115</v>
      </c>
      <c r="F35" s="3" t="s">
        <v>130</v>
      </c>
      <c r="G35" s="15" t="s">
        <v>43</v>
      </c>
      <c r="H35" s="4">
        <v>0.5</v>
      </c>
      <c r="I35" s="5" t="s">
        <v>44</v>
      </c>
      <c r="J35" s="1" t="s">
        <v>45</v>
      </c>
      <c r="K35" s="6" t="s">
        <v>46</v>
      </c>
      <c r="L35" s="7" t="s">
        <v>47</v>
      </c>
      <c r="M35" s="8" t="s">
        <v>131</v>
      </c>
      <c r="N35" s="21">
        <v>0</v>
      </c>
      <c r="O35" s="9">
        <f>800+12+2020+12+3840-520</f>
        <v>6164</v>
      </c>
      <c r="P35" s="9">
        <f>800+12+2020+12+3840-520</f>
        <v>6164</v>
      </c>
      <c r="Q35" s="9">
        <f>800+12+2020+12+3840-520</f>
        <v>6164</v>
      </c>
      <c r="R35" s="9">
        <f>800+12+2020+12+3840-520</f>
        <v>6164</v>
      </c>
      <c r="S35" s="10">
        <v>250</v>
      </c>
      <c r="T35" s="11">
        <f t="shared" si="0"/>
        <v>6164000</v>
      </c>
      <c r="U35" s="11">
        <f t="shared" si="1"/>
        <v>6903680.0000000009</v>
      </c>
      <c r="V35" s="6" t="s">
        <v>49</v>
      </c>
      <c r="W35" s="12" t="s">
        <v>33</v>
      </c>
      <c r="X35" s="13"/>
    </row>
    <row r="36" spans="1:24" s="22" customFormat="1" ht="76.5" x14ac:dyDescent="0.2">
      <c r="A36" s="15" t="s">
        <v>132</v>
      </c>
      <c r="B36" s="14" t="s">
        <v>26</v>
      </c>
      <c r="C36" s="1" t="s">
        <v>133</v>
      </c>
      <c r="D36" s="1" t="s">
        <v>134</v>
      </c>
      <c r="E36" s="2" t="s">
        <v>135</v>
      </c>
      <c r="F36" s="3" t="s">
        <v>136</v>
      </c>
      <c r="G36" s="15" t="s">
        <v>43</v>
      </c>
      <c r="H36" s="4">
        <v>0.5</v>
      </c>
      <c r="I36" s="5" t="s">
        <v>44</v>
      </c>
      <c r="J36" s="1" t="s">
        <v>45</v>
      </c>
      <c r="K36" s="6" t="s">
        <v>46</v>
      </c>
      <c r="L36" s="7" t="s">
        <v>47</v>
      </c>
      <c r="M36" s="8" t="s">
        <v>107</v>
      </c>
      <c r="N36" s="21">
        <v>0</v>
      </c>
      <c r="O36" s="9">
        <f>2600+17775+28+280+750+200+3500-450</f>
        <v>24683</v>
      </c>
      <c r="P36" s="9">
        <f>2600+17775+28+280+750+200+3500-450</f>
        <v>24683</v>
      </c>
      <c r="Q36" s="9">
        <f>2600+17775+28+280+750+200+3500-450</f>
        <v>24683</v>
      </c>
      <c r="R36" s="9">
        <f>2600+17775+28+280+750+200+3500-450</f>
        <v>24683</v>
      </c>
      <c r="S36" s="10">
        <v>200.89</v>
      </c>
      <c r="T36" s="11">
        <f t="shared" si="0"/>
        <v>19834271.48</v>
      </c>
      <c r="U36" s="11">
        <f t="shared" si="1"/>
        <v>22214384.057600003</v>
      </c>
      <c r="V36" s="6" t="s">
        <v>49</v>
      </c>
      <c r="W36" s="12" t="s">
        <v>33</v>
      </c>
      <c r="X36" s="17"/>
    </row>
    <row r="37" spans="1:24" s="22" customFormat="1" ht="76.5" x14ac:dyDescent="0.2">
      <c r="A37" s="15" t="s">
        <v>137</v>
      </c>
      <c r="B37" s="14" t="s">
        <v>26</v>
      </c>
      <c r="C37" s="1" t="s">
        <v>133</v>
      </c>
      <c r="D37" s="1" t="s">
        <v>134</v>
      </c>
      <c r="E37" s="2" t="s">
        <v>135</v>
      </c>
      <c r="F37" s="3" t="s">
        <v>138</v>
      </c>
      <c r="G37" s="15" t="s">
        <v>43</v>
      </c>
      <c r="H37" s="4">
        <v>0.5</v>
      </c>
      <c r="I37" s="5" t="s">
        <v>44</v>
      </c>
      <c r="J37" s="1" t="s">
        <v>45</v>
      </c>
      <c r="K37" s="6" t="s">
        <v>46</v>
      </c>
      <c r="L37" s="7" t="s">
        <v>47</v>
      </c>
      <c r="M37" s="8" t="s">
        <v>107</v>
      </c>
      <c r="N37" s="21">
        <v>0</v>
      </c>
      <c r="O37" s="9">
        <f>8+10+200+500+2400+199+150+500+4</f>
        <v>3971</v>
      </c>
      <c r="P37" s="9">
        <f>8+10+200+500+2400+199+150+500+4</f>
        <v>3971</v>
      </c>
      <c r="Q37" s="9">
        <f>8+10+200+500+2400+199+150+500+4</f>
        <v>3971</v>
      </c>
      <c r="R37" s="9">
        <f>8+10+200+500+2400+199+150+500+4</f>
        <v>3971</v>
      </c>
      <c r="S37" s="10">
        <v>286.61</v>
      </c>
      <c r="T37" s="11">
        <f t="shared" si="0"/>
        <v>4552513.24</v>
      </c>
      <c r="U37" s="11">
        <f t="shared" si="1"/>
        <v>5098814.8288000012</v>
      </c>
      <c r="V37" s="6" t="s">
        <v>49</v>
      </c>
      <c r="W37" s="12" t="s">
        <v>33</v>
      </c>
      <c r="X37" s="17"/>
    </row>
    <row r="38" spans="1:24" s="22" customFormat="1" ht="89.25" x14ac:dyDescent="0.2">
      <c r="A38" s="15" t="s">
        <v>139</v>
      </c>
      <c r="B38" s="14" t="s">
        <v>26</v>
      </c>
      <c r="C38" s="2" t="s">
        <v>140</v>
      </c>
      <c r="D38" s="2" t="s">
        <v>141</v>
      </c>
      <c r="E38" s="2" t="s">
        <v>142</v>
      </c>
      <c r="F38" s="3" t="s">
        <v>143</v>
      </c>
      <c r="G38" s="15" t="s">
        <v>43</v>
      </c>
      <c r="H38" s="4">
        <v>0.5</v>
      </c>
      <c r="I38" s="5" t="s">
        <v>44</v>
      </c>
      <c r="J38" s="1" t="s">
        <v>45</v>
      </c>
      <c r="K38" s="6" t="s">
        <v>46</v>
      </c>
      <c r="L38" s="7" t="s">
        <v>47</v>
      </c>
      <c r="M38" s="8" t="s">
        <v>144</v>
      </c>
      <c r="N38" s="21">
        <v>0</v>
      </c>
      <c r="O38" s="9">
        <f>2304+4764+240+48+24+96+2352-504</f>
        <v>9324</v>
      </c>
      <c r="P38" s="9">
        <f>2304+4764+240+48+24+96+2352-504</f>
        <v>9324</v>
      </c>
      <c r="Q38" s="9">
        <f>2304+4764+240+48+24+96+2352-504</f>
        <v>9324</v>
      </c>
      <c r="R38" s="9">
        <f>2304+4764+240+48+24+96+2352-504</f>
        <v>9324</v>
      </c>
      <c r="S38" s="10">
        <v>174.11</v>
      </c>
      <c r="T38" s="11">
        <f t="shared" si="0"/>
        <v>6493606.5600000005</v>
      </c>
      <c r="U38" s="11">
        <f t="shared" si="1"/>
        <v>7272839.3472000016</v>
      </c>
      <c r="V38" s="6" t="s">
        <v>49</v>
      </c>
      <c r="W38" s="12" t="s">
        <v>33</v>
      </c>
      <c r="X38" s="17"/>
    </row>
    <row r="39" spans="1:24" s="22" customFormat="1" ht="76.5" x14ac:dyDescent="0.2">
      <c r="A39" s="15" t="s">
        <v>145</v>
      </c>
      <c r="B39" s="14" t="s">
        <v>26</v>
      </c>
      <c r="C39" s="3" t="s">
        <v>146</v>
      </c>
      <c r="D39" s="3" t="s">
        <v>147</v>
      </c>
      <c r="E39" s="3" t="s">
        <v>148</v>
      </c>
      <c r="F39" s="3" t="s">
        <v>149</v>
      </c>
      <c r="G39" s="15" t="s">
        <v>43</v>
      </c>
      <c r="H39" s="4">
        <v>0.5</v>
      </c>
      <c r="I39" s="5" t="s">
        <v>44</v>
      </c>
      <c r="J39" s="1" t="s">
        <v>45</v>
      </c>
      <c r="K39" s="6" t="s">
        <v>46</v>
      </c>
      <c r="L39" s="7" t="s">
        <v>47</v>
      </c>
      <c r="M39" s="8" t="s">
        <v>76</v>
      </c>
      <c r="N39" s="21">
        <v>0</v>
      </c>
      <c r="O39" s="9">
        <f>1800+8+16+4+4692+40+112</f>
        <v>6672</v>
      </c>
      <c r="P39" s="9">
        <f>1800+8+16+4+4692+40+112</f>
        <v>6672</v>
      </c>
      <c r="Q39" s="9">
        <f>1800+8+16+4+4692+40+112</f>
        <v>6672</v>
      </c>
      <c r="R39" s="9">
        <f>1800+8+16+4+4692+40+112</f>
        <v>6672</v>
      </c>
      <c r="S39" s="10">
        <v>42.85</v>
      </c>
      <c r="T39" s="11">
        <f t="shared" si="0"/>
        <v>1143580.8</v>
      </c>
      <c r="U39" s="11">
        <f t="shared" si="1"/>
        <v>1280810.4960000003</v>
      </c>
      <c r="V39" s="6" t="s">
        <v>49</v>
      </c>
      <c r="W39" s="12" t="s">
        <v>33</v>
      </c>
      <c r="X39" s="17"/>
    </row>
    <row r="40" spans="1:24" s="22" customFormat="1" ht="127.5" x14ac:dyDescent="0.2">
      <c r="A40" s="15" t="s">
        <v>150</v>
      </c>
      <c r="B40" s="14" t="s">
        <v>26</v>
      </c>
      <c r="C40" s="1" t="s">
        <v>151</v>
      </c>
      <c r="D40" s="1" t="s">
        <v>152</v>
      </c>
      <c r="E40" s="2" t="s">
        <v>153</v>
      </c>
      <c r="F40" s="3" t="s">
        <v>154</v>
      </c>
      <c r="G40" s="15" t="s">
        <v>43</v>
      </c>
      <c r="H40" s="4">
        <v>0.5</v>
      </c>
      <c r="I40" s="5" t="s">
        <v>44</v>
      </c>
      <c r="J40" s="1" t="s">
        <v>45</v>
      </c>
      <c r="K40" s="6" t="s">
        <v>46</v>
      </c>
      <c r="L40" s="7" t="s">
        <v>47</v>
      </c>
      <c r="M40" s="8" t="s">
        <v>76</v>
      </c>
      <c r="N40" s="21">
        <v>0</v>
      </c>
      <c r="O40" s="9">
        <f>196+40+8+3+4+291</f>
        <v>542</v>
      </c>
      <c r="P40" s="9">
        <f>196+40+8+3+4+291</f>
        <v>542</v>
      </c>
      <c r="Q40" s="9">
        <f>196+40+8+3+4+291</f>
        <v>542</v>
      </c>
      <c r="R40" s="9">
        <f>196+40+8+3+4+291</f>
        <v>542</v>
      </c>
      <c r="S40" s="10">
        <v>754.46</v>
      </c>
      <c r="T40" s="11">
        <f t="shared" si="0"/>
        <v>1635669.28</v>
      </c>
      <c r="U40" s="11">
        <f t="shared" si="1"/>
        <v>1831949.5936000003</v>
      </c>
      <c r="V40" s="6" t="s">
        <v>49</v>
      </c>
      <c r="W40" s="12" t="s">
        <v>33</v>
      </c>
      <c r="X40" s="17"/>
    </row>
    <row r="41" spans="1:24" s="22" customFormat="1" ht="76.5" x14ac:dyDescent="0.2">
      <c r="A41" s="15" t="s">
        <v>155</v>
      </c>
      <c r="B41" s="14" t="s">
        <v>26</v>
      </c>
      <c r="C41" s="1" t="s">
        <v>51</v>
      </c>
      <c r="D41" s="1" t="s">
        <v>40</v>
      </c>
      <c r="E41" s="2" t="s">
        <v>41</v>
      </c>
      <c r="F41" s="3" t="s">
        <v>58</v>
      </c>
      <c r="G41" s="15" t="s">
        <v>43</v>
      </c>
      <c r="H41" s="4">
        <v>0.5</v>
      </c>
      <c r="I41" s="5" t="s">
        <v>44</v>
      </c>
      <c r="J41" s="1" t="s">
        <v>156</v>
      </c>
      <c r="K41" s="6" t="s">
        <v>46</v>
      </c>
      <c r="L41" s="7" t="s">
        <v>47</v>
      </c>
      <c r="M41" s="8" t="s">
        <v>53</v>
      </c>
      <c r="N41" s="21">
        <v>0</v>
      </c>
      <c r="O41" s="9">
        <v>342</v>
      </c>
      <c r="P41" s="9">
        <v>342</v>
      </c>
      <c r="Q41" s="9">
        <v>342</v>
      </c>
      <c r="R41" s="9">
        <v>342</v>
      </c>
      <c r="S41" s="10">
        <v>319.76</v>
      </c>
      <c r="T41" s="11">
        <f t="shared" si="0"/>
        <v>437431.68</v>
      </c>
      <c r="U41" s="11">
        <f t="shared" si="1"/>
        <v>489923.48160000006</v>
      </c>
      <c r="V41" s="6" t="s">
        <v>49</v>
      </c>
      <c r="W41" s="12" t="s">
        <v>33</v>
      </c>
      <c r="X41" s="17"/>
    </row>
    <row r="42" spans="1:24" s="22" customFormat="1" ht="76.5" x14ac:dyDescent="0.2">
      <c r="A42" s="15" t="s">
        <v>157</v>
      </c>
      <c r="B42" s="14" t="s">
        <v>26</v>
      </c>
      <c r="C42" s="1" t="s">
        <v>55</v>
      </c>
      <c r="D42" s="1" t="s">
        <v>56</v>
      </c>
      <c r="E42" s="2" t="s">
        <v>57</v>
      </c>
      <c r="F42" s="3" t="s">
        <v>58</v>
      </c>
      <c r="G42" s="15" t="s">
        <v>43</v>
      </c>
      <c r="H42" s="4">
        <v>0.5</v>
      </c>
      <c r="I42" s="5" t="s">
        <v>44</v>
      </c>
      <c r="J42" s="1" t="s">
        <v>156</v>
      </c>
      <c r="K42" s="6" t="s">
        <v>46</v>
      </c>
      <c r="L42" s="7" t="s">
        <v>47</v>
      </c>
      <c r="M42" s="8" t="s">
        <v>53</v>
      </c>
      <c r="N42" s="21">
        <v>0</v>
      </c>
      <c r="O42" s="9">
        <v>660</v>
      </c>
      <c r="P42" s="9">
        <v>660</v>
      </c>
      <c r="Q42" s="9">
        <v>660</v>
      </c>
      <c r="R42" s="9">
        <v>660</v>
      </c>
      <c r="S42" s="10">
        <v>395.18</v>
      </c>
      <c r="T42" s="11">
        <f t="shared" si="0"/>
        <v>1043275.2000000001</v>
      </c>
      <c r="U42" s="11">
        <f t="shared" si="1"/>
        <v>1168468.2240000002</v>
      </c>
      <c r="V42" s="6" t="s">
        <v>49</v>
      </c>
      <c r="W42" s="12" t="s">
        <v>33</v>
      </c>
      <c r="X42" s="17"/>
    </row>
    <row r="43" spans="1:24" s="22" customFormat="1" ht="76.5" x14ac:dyDescent="0.2">
      <c r="A43" s="15" t="s">
        <v>158</v>
      </c>
      <c r="B43" s="14" t="s">
        <v>26</v>
      </c>
      <c r="C43" s="1" t="s">
        <v>98</v>
      </c>
      <c r="D43" s="1" t="s">
        <v>99</v>
      </c>
      <c r="E43" s="2" t="s">
        <v>100</v>
      </c>
      <c r="F43" s="3" t="s">
        <v>58</v>
      </c>
      <c r="G43" s="15" t="s">
        <v>43</v>
      </c>
      <c r="H43" s="4">
        <v>0.5</v>
      </c>
      <c r="I43" s="5" t="s">
        <v>44</v>
      </c>
      <c r="J43" s="1" t="s">
        <v>156</v>
      </c>
      <c r="K43" s="6" t="s">
        <v>46</v>
      </c>
      <c r="L43" s="7" t="s">
        <v>47</v>
      </c>
      <c r="M43" s="8" t="s">
        <v>53</v>
      </c>
      <c r="N43" s="21">
        <v>0</v>
      </c>
      <c r="O43" s="9">
        <v>344</v>
      </c>
      <c r="P43" s="9">
        <v>344</v>
      </c>
      <c r="Q43" s="9">
        <v>344</v>
      </c>
      <c r="R43" s="9">
        <v>344</v>
      </c>
      <c r="S43" s="10">
        <v>555.70000000000005</v>
      </c>
      <c r="T43" s="11">
        <f t="shared" si="0"/>
        <v>764643.20000000007</v>
      </c>
      <c r="U43" s="11">
        <f t="shared" si="1"/>
        <v>856400.38400000019</v>
      </c>
      <c r="V43" s="6" t="s">
        <v>49</v>
      </c>
      <c r="W43" s="12" t="s">
        <v>33</v>
      </c>
      <c r="X43" s="17"/>
    </row>
    <row r="44" spans="1:24" s="22" customFormat="1" ht="216.75" x14ac:dyDescent="0.2">
      <c r="A44" s="15" t="s">
        <v>159</v>
      </c>
      <c r="B44" s="14" t="s">
        <v>26</v>
      </c>
      <c r="C44" s="1" t="s">
        <v>67</v>
      </c>
      <c r="D44" s="1" t="s">
        <v>68</v>
      </c>
      <c r="E44" s="2" t="s">
        <v>69</v>
      </c>
      <c r="F44" s="3" t="s">
        <v>70</v>
      </c>
      <c r="G44" s="15" t="s">
        <v>43</v>
      </c>
      <c r="H44" s="4">
        <v>0.5</v>
      </c>
      <c r="I44" s="5" t="s">
        <v>44</v>
      </c>
      <c r="J44" s="1" t="s">
        <v>156</v>
      </c>
      <c r="K44" s="6" t="s">
        <v>46</v>
      </c>
      <c r="L44" s="7" t="s">
        <v>47</v>
      </c>
      <c r="M44" s="8" t="s">
        <v>53</v>
      </c>
      <c r="N44" s="21">
        <v>0</v>
      </c>
      <c r="O44" s="9">
        <v>198</v>
      </c>
      <c r="P44" s="9">
        <v>198</v>
      </c>
      <c r="Q44" s="9">
        <v>198</v>
      </c>
      <c r="R44" s="9">
        <v>198</v>
      </c>
      <c r="S44" s="10">
        <v>128.57</v>
      </c>
      <c r="T44" s="11">
        <f t="shared" si="0"/>
        <v>101827.43999999999</v>
      </c>
      <c r="U44" s="11">
        <f t="shared" si="1"/>
        <v>114046.7328</v>
      </c>
      <c r="V44" s="6" t="s">
        <v>49</v>
      </c>
      <c r="W44" s="12" t="s">
        <v>33</v>
      </c>
      <c r="X44" s="17"/>
    </row>
    <row r="45" spans="1:24" s="22" customFormat="1" ht="76.5" x14ac:dyDescent="0.2">
      <c r="A45" s="15" t="s">
        <v>160</v>
      </c>
      <c r="B45" s="14" t="s">
        <v>26</v>
      </c>
      <c r="C45" s="1" t="s">
        <v>86</v>
      </c>
      <c r="D45" s="1" t="s">
        <v>87</v>
      </c>
      <c r="E45" s="2" t="s">
        <v>88</v>
      </c>
      <c r="F45" s="3" t="s">
        <v>161</v>
      </c>
      <c r="G45" s="15" t="s">
        <v>43</v>
      </c>
      <c r="H45" s="4">
        <v>0.5</v>
      </c>
      <c r="I45" s="5" t="s">
        <v>44</v>
      </c>
      <c r="J45" s="1" t="s">
        <v>156</v>
      </c>
      <c r="K45" s="6" t="s">
        <v>46</v>
      </c>
      <c r="L45" s="7" t="s">
        <v>47</v>
      </c>
      <c r="M45" s="8" t="s">
        <v>76</v>
      </c>
      <c r="N45" s="21">
        <v>0</v>
      </c>
      <c r="O45" s="9">
        <v>376</v>
      </c>
      <c r="P45" s="9">
        <v>376</v>
      </c>
      <c r="Q45" s="9">
        <v>376</v>
      </c>
      <c r="R45" s="9">
        <v>376</v>
      </c>
      <c r="S45" s="10">
        <v>697.15</v>
      </c>
      <c r="T45" s="11">
        <f t="shared" si="0"/>
        <v>1048513.6</v>
      </c>
      <c r="U45" s="11">
        <f t="shared" si="1"/>
        <v>1174335.2320000001</v>
      </c>
      <c r="V45" s="6" t="s">
        <v>49</v>
      </c>
      <c r="W45" s="12" t="s">
        <v>33</v>
      </c>
      <c r="X45" s="17"/>
    </row>
    <row r="46" spans="1:24" s="22" customFormat="1" ht="76.5" x14ac:dyDescent="0.2">
      <c r="A46" s="15" t="s">
        <v>162</v>
      </c>
      <c r="B46" s="14" t="s">
        <v>26</v>
      </c>
      <c r="C46" s="1" t="s">
        <v>163</v>
      </c>
      <c r="D46" s="1" t="s">
        <v>104</v>
      </c>
      <c r="E46" s="2" t="s">
        <v>164</v>
      </c>
      <c r="F46" s="3"/>
      <c r="G46" s="15" t="s">
        <v>43</v>
      </c>
      <c r="H46" s="4">
        <v>0.5</v>
      </c>
      <c r="I46" s="5" t="s">
        <v>44</v>
      </c>
      <c r="J46" s="1" t="s">
        <v>156</v>
      </c>
      <c r="K46" s="6" t="s">
        <v>46</v>
      </c>
      <c r="L46" s="7" t="s">
        <v>47</v>
      </c>
      <c r="M46" s="8" t="s">
        <v>107</v>
      </c>
      <c r="N46" s="21">
        <v>0</v>
      </c>
      <c r="O46" s="9">
        <v>3577</v>
      </c>
      <c r="P46" s="9">
        <v>3577</v>
      </c>
      <c r="Q46" s="9">
        <v>3577</v>
      </c>
      <c r="R46" s="9">
        <v>3577</v>
      </c>
      <c r="S46" s="10">
        <v>40.22</v>
      </c>
      <c r="T46" s="11">
        <f t="shared" si="0"/>
        <v>575467.76</v>
      </c>
      <c r="U46" s="11">
        <f t="shared" si="1"/>
        <v>644523.89120000007</v>
      </c>
      <c r="V46" s="6" t="s">
        <v>49</v>
      </c>
      <c r="W46" s="12" t="s">
        <v>33</v>
      </c>
      <c r="X46" s="17"/>
    </row>
    <row r="47" spans="1:24" s="22" customFormat="1" ht="76.5" x14ac:dyDescent="0.2">
      <c r="A47" s="15" t="s">
        <v>165</v>
      </c>
      <c r="B47" s="14" t="s">
        <v>26</v>
      </c>
      <c r="C47" s="1" t="s">
        <v>109</v>
      </c>
      <c r="D47" s="1" t="s">
        <v>104</v>
      </c>
      <c r="E47" s="2" t="s">
        <v>110</v>
      </c>
      <c r="F47" s="3" t="s">
        <v>166</v>
      </c>
      <c r="G47" s="15" t="s">
        <v>43</v>
      </c>
      <c r="H47" s="4">
        <v>0.5</v>
      </c>
      <c r="I47" s="5" t="s">
        <v>44</v>
      </c>
      <c r="J47" s="1" t="s">
        <v>156</v>
      </c>
      <c r="K47" s="6" t="s">
        <v>46</v>
      </c>
      <c r="L47" s="7" t="s">
        <v>47</v>
      </c>
      <c r="M47" s="8" t="s">
        <v>107</v>
      </c>
      <c r="N47" s="21">
        <v>0</v>
      </c>
      <c r="O47" s="9">
        <v>1697</v>
      </c>
      <c r="P47" s="9">
        <v>1697</v>
      </c>
      <c r="Q47" s="9">
        <v>1697</v>
      </c>
      <c r="R47" s="9">
        <v>1697</v>
      </c>
      <c r="S47" s="10">
        <v>49.56</v>
      </c>
      <c r="T47" s="11">
        <f t="shared" si="0"/>
        <v>336413.28</v>
      </c>
      <c r="U47" s="11">
        <f t="shared" si="1"/>
        <v>376782.87360000005</v>
      </c>
      <c r="V47" s="6" t="s">
        <v>49</v>
      </c>
      <c r="W47" s="12" t="s">
        <v>33</v>
      </c>
      <c r="X47" s="17"/>
    </row>
    <row r="48" spans="1:24" s="22" customFormat="1" ht="76.5" x14ac:dyDescent="0.2">
      <c r="A48" s="15" t="s">
        <v>167</v>
      </c>
      <c r="B48" s="14" t="s">
        <v>26</v>
      </c>
      <c r="C48" s="1" t="s">
        <v>118</v>
      </c>
      <c r="D48" s="1" t="s">
        <v>119</v>
      </c>
      <c r="E48" s="2" t="s">
        <v>120</v>
      </c>
      <c r="F48" s="3" t="s">
        <v>168</v>
      </c>
      <c r="G48" s="15" t="s">
        <v>43</v>
      </c>
      <c r="H48" s="4">
        <v>0.5</v>
      </c>
      <c r="I48" s="5" t="s">
        <v>44</v>
      </c>
      <c r="J48" s="1" t="s">
        <v>156</v>
      </c>
      <c r="K48" s="6" t="s">
        <v>46</v>
      </c>
      <c r="L48" s="7" t="s">
        <v>47</v>
      </c>
      <c r="M48" s="8" t="s">
        <v>122</v>
      </c>
      <c r="N48" s="21">
        <v>0</v>
      </c>
      <c r="O48" s="9">
        <v>1610</v>
      </c>
      <c r="P48" s="9">
        <v>1610</v>
      </c>
      <c r="Q48" s="9">
        <v>1610</v>
      </c>
      <c r="R48" s="9">
        <v>1610</v>
      </c>
      <c r="S48" s="10">
        <v>68.89</v>
      </c>
      <c r="T48" s="11">
        <f t="shared" si="0"/>
        <v>443651.6</v>
      </c>
      <c r="U48" s="11">
        <f t="shared" si="1"/>
        <v>496889.79200000002</v>
      </c>
      <c r="V48" s="6" t="s">
        <v>49</v>
      </c>
      <c r="W48" s="12" t="s">
        <v>33</v>
      </c>
      <c r="X48" s="17"/>
    </row>
    <row r="49" spans="1:27" s="22" customFormat="1" ht="89.25" x14ac:dyDescent="0.2">
      <c r="A49" s="15" t="s">
        <v>169</v>
      </c>
      <c r="B49" s="14" t="s">
        <v>26</v>
      </c>
      <c r="C49" s="3" t="s">
        <v>170</v>
      </c>
      <c r="D49" s="3" t="s">
        <v>147</v>
      </c>
      <c r="E49" s="3" t="s">
        <v>171</v>
      </c>
      <c r="F49" s="3" t="s">
        <v>172</v>
      </c>
      <c r="G49" s="15" t="s">
        <v>43</v>
      </c>
      <c r="H49" s="4">
        <v>0.5</v>
      </c>
      <c r="I49" s="5" t="s">
        <v>44</v>
      </c>
      <c r="J49" s="1" t="s">
        <v>156</v>
      </c>
      <c r="K49" s="6" t="s">
        <v>46</v>
      </c>
      <c r="L49" s="7" t="s">
        <v>47</v>
      </c>
      <c r="M49" s="8" t="s">
        <v>76</v>
      </c>
      <c r="N49" s="21">
        <v>0</v>
      </c>
      <c r="O49" s="9">
        <v>50</v>
      </c>
      <c r="P49" s="9">
        <v>50</v>
      </c>
      <c r="Q49" s="9">
        <v>50</v>
      </c>
      <c r="R49" s="9">
        <v>50</v>
      </c>
      <c r="S49" s="10">
        <v>107.02</v>
      </c>
      <c r="T49" s="11">
        <f t="shared" si="0"/>
        <v>21404</v>
      </c>
      <c r="U49" s="11">
        <f t="shared" si="1"/>
        <v>23972.480000000003</v>
      </c>
      <c r="V49" s="6" t="s">
        <v>49</v>
      </c>
      <c r="W49" s="12" t="s">
        <v>33</v>
      </c>
      <c r="X49" s="17"/>
    </row>
    <row r="50" spans="1:27" s="22" customFormat="1" ht="76.5" x14ac:dyDescent="0.2">
      <c r="A50" s="15" t="s">
        <v>173</v>
      </c>
      <c r="B50" s="14" t="s">
        <v>26</v>
      </c>
      <c r="C50" s="1" t="s">
        <v>133</v>
      </c>
      <c r="D50" s="1" t="s">
        <v>134</v>
      </c>
      <c r="E50" s="2" t="s">
        <v>135</v>
      </c>
      <c r="F50" s="3" t="s">
        <v>138</v>
      </c>
      <c r="G50" s="15" t="s">
        <v>43</v>
      </c>
      <c r="H50" s="4">
        <v>0.5</v>
      </c>
      <c r="I50" s="5" t="s">
        <v>44</v>
      </c>
      <c r="J50" s="1" t="s">
        <v>156</v>
      </c>
      <c r="K50" s="6" t="s">
        <v>46</v>
      </c>
      <c r="L50" s="7" t="s">
        <v>47</v>
      </c>
      <c r="M50" s="8" t="s">
        <v>76</v>
      </c>
      <c r="N50" s="21">
        <v>0</v>
      </c>
      <c r="O50" s="9">
        <v>483</v>
      </c>
      <c r="P50" s="9">
        <v>483</v>
      </c>
      <c r="Q50" s="9">
        <v>483</v>
      </c>
      <c r="R50" s="9">
        <v>483</v>
      </c>
      <c r="S50" s="10">
        <v>201.63</v>
      </c>
      <c r="T50" s="11">
        <f t="shared" si="0"/>
        <v>389549.16</v>
      </c>
      <c r="U50" s="11">
        <f t="shared" si="1"/>
        <v>436295.05920000002</v>
      </c>
      <c r="V50" s="6" t="s">
        <v>49</v>
      </c>
      <c r="W50" s="12" t="s">
        <v>33</v>
      </c>
      <c r="X50" s="17"/>
    </row>
    <row r="51" spans="1:27" s="22" customFormat="1" ht="76.5" x14ac:dyDescent="0.2">
      <c r="A51" s="15" t="s">
        <v>174</v>
      </c>
      <c r="B51" s="14" t="s">
        <v>26</v>
      </c>
      <c r="C51" s="1" t="s">
        <v>151</v>
      </c>
      <c r="D51" s="1" t="s">
        <v>152</v>
      </c>
      <c r="E51" s="2" t="s">
        <v>153</v>
      </c>
      <c r="F51" s="3"/>
      <c r="G51" s="15" t="s">
        <v>43</v>
      </c>
      <c r="H51" s="4">
        <v>0.5</v>
      </c>
      <c r="I51" s="5" t="s">
        <v>44</v>
      </c>
      <c r="J51" s="1" t="s">
        <v>156</v>
      </c>
      <c r="K51" s="6" t="s">
        <v>46</v>
      </c>
      <c r="L51" s="7" t="s">
        <v>47</v>
      </c>
      <c r="M51" s="8" t="s">
        <v>76</v>
      </c>
      <c r="N51" s="21">
        <v>0</v>
      </c>
      <c r="O51" s="9">
        <v>10</v>
      </c>
      <c r="P51" s="9">
        <v>10</v>
      </c>
      <c r="Q51" s="9">
        <v>10</v>
      </c>
      <c r="R51" s="9">
        <v>10</v>
      </c>
      <c r="S51" s="10">
        <v>128</v>
      </c>
      <c r="T51" s="11">
        <f t="shared" si="0"/>
        <v>5120</v>
      </c>
      <c r="U51" s="11">
        <f t="shared" si="1"/>
        <v>5734.4000000000005</v>
      </c>
      <c r="V51" s="6" t="s">
        <v>49</v>
      </c>
      <c r="W51" s="12" t="s">
        <v>33</v>
      </c>
      <c r="X51" s="17"/>
    </row>
    <row r="52" spans="1:27" s="22" customFormat="1" ht="76.5" x14ac:dyDescent="0.2">
      <c r="A52" s="15" t="s">
        <v>175</v>
      </c>
      <c r="B52" s="16" t="s">
        <v>26</v>
      </c>
      <c r="C52" s="1" t="s">
        <v>113</v>
      </c>
      <c r="D52" s="1" t="s">
        <v>114</v>
      </c>
      <c r="E52" s="2" t="s">
        <v>115</v>
      </c>
      <c r="F52" s="3" t="s">
        <v>130</v>
      </c>
      <c r="G52" s="15" t="s">
        <v>43</v>
      </c>
      <c r="H52" s="4">
        <v>0.5</v>
      </c>
      <c r="I52" s="5" t="s">
        <v>44</v>
      </c>
      <c r="J52" s="1" t="s">
        <v>156</v>
      </c>
      <c r="K52" s="6" t="s">
        <v>46</v>
      </c>
      <c r="L52" s="7" t="s">
        <v>47</v>
      </c>
      <c r="M52" s="8" t="s">
        <v>131</v>
      </c>
      <c r="N52" s="21">
        <v>0</v>
      </c>
      <c r="O52" s="10">
        <v>787</v>
      </c>
      <c r="P52" s="10">
        <v>787</v>
      </c>
      <c r="Q52" s="10">
        <v>787</v>
      </c>
      <c r="R52" s="10">
        <v>787</v>
      </c>
      <c r="S52" s="10">
        <v>314.19</v>
      </c>
      <c r="T52" s="11">
        <f t="shared" si="0"/>
        <v>989070.12</v>
      </c>
      <c r="U52" s="11">
        <f t="shared" si="1"/>
        <v>1107758.5344</v>
      </c>
      <c r="V52" s="6" t="s">
        <v>49</v>
      </c>
      <c r="W52" s="12" t="s">
        <v>33</v>
      </c>
      <c r="X52" s="17"/>
    </row>
    <row r="53" spans="1:27" s="63" customFormat="1" x14ac:dyDescent="0.3">
      <c r="A53" s="55" t="s">
        <v>176</v>
      </c>
      <c r="B53" s="56"/>
      <c r="C53" s="57"/>
      <c r="D53" s="58"/>
      <c r="E53" s="58"/>
      <c r="F53" s="59"/>
      <c r="G53" s="59"/>
      <c r="H53" s="59"/>
      <c r="I53" s="5"/>
      <c r="J53" s="59"/>
      <c r="K53" s="59"/>
      <c r="L53" s="59"/>
      <c r="M53" s="59"/>
      <c r="N53" s="59"/>
      <c r="O53" s="59"/>
      <c r="P53" s="59"/>
      <c r="Q53" s="59"/>
      <c r="R53" s="60" t="s">
        <v>177</v>
      </c>
      <c r="S53" s="60"/>
      <c r="T53" s="61">
        <f>SUM(T15:T52)</f>
        <v>233004813.91999999</v>
      </c>
      <c r="U53" s="61">
        <f>SUM(U15:U52)</f>
        <v>260965391.59039998</v>
      </c>
      <c r="V53" s="12"/>
      <c r="W53" s="12"/>
      <c r="X53" s="62"/>
    </row>
    <row r="54" spans="1:27" s="45" customFormat="1" x14ac:dyDescent="0.3">
      <c r="A54" s="39" t="s">
        <v>180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1"/>
      <c r="O54" s="41"/>
      <c r="P54" s="41"/>
      <c r="Q54" s="41"/>
      <c r="R54" s="42"/>
      <c r="S54" s="40"/>
      <c r="T54" s="43"/>
      <c r="U54" s="43"/>
      <c r="V54" s="40"/>
      <c r="W54" s="44"/>
      <c r="X54" s="44"/>
    </row>
    <row r="55" spans="1:27" s="63" customFormat="1" x14ac:dyDescent="0.3">
      <c r="A55" s="55" t="s">
        <v>181</v>
      </c>
      <c r="B55" s="56"/>
      <c r="C55" s="57"/>
      <c r="D55" s="58"/>
      <c r="E55" s="58"/>
      <c r="F55" s="59"/>
      <c r="G55" s="59"/>
      <c r="H55" s="59"/>
      <c r="I55" s="5"/>
      <c r="J55" s="59"/>
      <c r="K55" s="59"/>
      <c r="L55" s="59"/>
      <c r="M55" s="59"/>
      <c r="N55" s="59"/>
      <c r="O55" s="59"/>
      <c r="P55" s="59"/>
      <c r="Q55" s="59"/>
      <c r="R55" s="60" t="s">
        <v>177</v>
      </c>
      <c r="S55" s="60"/>
      <c r="T55" s="61"/>
      <c r="U55" s="61"/>
      <c r="V55" s="12"/>
      <c r="W55" s="12"/>
      <c r="X55" s="62"/>
    </row>
    <row r="56" spans="1:27" s="45" customFormat="1" x14ac:dyDescent="0.3">
      <c r="A56" s="39" t="s">
        <v>182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1"/>
      <c r="O56" s="41"/>
      <c r="P56" s="41"/>
      <c r="Q56" s="41"/>
      <c r="R56" s="42"/>
      <c r="S56" s="40"/>
      <c r="T56" s="43"/>
      <c r="U56" s="43"/>
      <c r="V56" s="40"/>
      <c r="W56" s="44"/>
      <c r="X56" s="44"/>
    </row>
    <row r="57" spans="1:27" s="22" customFormat="1" ht="38.25" x14ac:dyDescent="0.3">
      <c r="A57" s="18" t="s">
        <v>22</v>
      </c>
      <c r="B57" s="18" t="s">
        <v>26</v>
      </c>
      <c r="C57" s="18" t="s">
        <v>27</v>
      </c>
      <c r="D57" s="18" t="s">
        <v>28</v>
      </c>
      <c r="E57" s="18" t="s">
        <v>29</v>
      </c>
      <c r="F57" s="20"/>
      <c r="G57" s="18" t="s">
        <v>21</v>
      </c>
      <c r="H57" s="4">
        <v>1</v>
      </c>
      <c r="I57" s="18" t="s">
        <v>30</v>
      </c>
      <c r="J57" s="18" t="s">
        <v>23</v>
      </c>
      <c r="K57" s="18"/>
      <c r="L57" s="18" t="s">
        <v>31</v>
      </c>
      <c r="M57" s="18" t="s">
        <v>25</v>
      </c>
      <c r="N57" s="21">
        <v>27857142.850000001</v>
      </c>
      <c r="O57" s="21">
        <v>27857142.850000001</v>
      </c>
      <c r="P57" s="21">
        <v>27857142.850000001</v>
      </c>
      <c r="Q57" s="21">
        <v>27857142.850000001</v>
      </c>
      <c r="R57" s="21">
        <v>27857142.850000001</v>
      </c>
      <c r="S57" s="46"/>
      <c r="T57" s="47">
        <f>N57+O57+P57+Q57+R57</f>
        <v>139285714.25</v>
      </c>
      <c r="U57" s="47">
        <f>T57*1.12</f>
        <v>155999999.96000001</v>
      </c>
      <c r="V57" s="18" t="s">
        <v>35</v>
      </c>
      <c r="W57" s="48" t="s">
        <v>32</v>
      </c>
      <c r="X57" s="48"/>
    </row>
    <row r="58" spans="1:27" s="63" customFormat="1" x14ac:dyDescent="0.3">
      <c r="A58" s="55" t="s">
        <v>178</v>
      </c>
      <c r="B58" s="56"/>
      <c r="C58" s="57"/>
      <c r="D58" s="58"/>
      <c r="E58" s="58"/>
      <c r="F58" s="59"/>
      <c r="G58" s="59"/>
      <c r="H58" s="59"/>
      <c r="I58" s="5"/>
      <c r="J58" s="59"/>
      <c r="K58" s="59"/>
      <c r="L58" s="59"/>
      <c r="M58" s="59"/>
      <c r="N58" s="59"/>
      <c r="O58" s="59"/>
      <c r="P58" s="59"/>
      <c r="Q58" s="59"/>
      <c r="R58" s="60" t="s">
        <v>177</v>
      </c>
      <c r="S58" s="60"/>
      <c r="T58" s="61">
        <f>SUM(T57)</f>
        <v>139285714.25</v>
      </c>
      <c r="U58" s="61">
        <v>156000000</v>
      </c>
      <c r="V58" s="12"/>
      <c r="W58" s="12"/>
      <c r="X58" s="62"/>
    </row>
    <row r="59" spans="1:27" s="38" customFormat="1" x14ac:dyDescent="0.3">
      <c r="A59" s="37" t="s">
        <v>24</v>
      </c>
      <c r="B59" s="49"/>
      <c r="C59" s="40"/>
      <c r="D59" s="40"/>
      <c r="E59" s="40"/>
      <c r="F59" s="40"/>
      <c r="G59" s="49"/>
      <c r="H59" s="49"/>
      <c r="I59" s="49"/>
      <c r="J59" s="49"/>
      <c r="K59" s="49"/>
      <c r="L59" s="49"/>
      <c r="M59" s="49"/>
      <c r="N59" s="50"/>
      <c r="O59" s="50"/>
      <c r="P59" s="50"/>
      <c r="Q59" s="50"/>
      <c r="R59" s="51"/>
      <c r="S59" s="52"/>
      <c r="T59" s="53">
        <f>T58+T53</f>
        <v>372290528.16999996</v>
      </c>
      <c r="U59" s="53">
        <f>T59*1.12</f>
        <v>416965391.55040002</v>
      </c>
      <c r="V59" s="49"/>
      <c r="W59" s="54"/>
      <c r="X59" s="54"/>
    </row>
    <row r="61" spans="1:27" ht="15.75" x14ac:dyDescent="0.25">
      <c r="A61" s="71"/>
      <c r="B61" s="85" t="s">
        <v>223</v>
      </c>
      <c r="C61" s="73"/>
      <c r="D61" s="73"/>
      <c r="E61" s="73"/>
      <c r="F61" s="73"/>
      <c r="G61" s="73"/>
      <c r="H61" s="74"/>
      <c r="I61" s="73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1"/>
      <c r="Z61" s="71"/>
      <c r="AA61" s="71"/>
    </row>
    <row r="62" spans="1:27" ht="15.75" x14ac:dyDescent="0.25">
      <c r="A62" s="71"/>
      <c r="B62" s="72" t="s">
        <v>186</v>
      </c>
      <c r="C62" s="75"/>
      <c r="D62" s="75"/>
      <c r="E62" s="74"/>
      <c r="F62" s="74"/>
      <c r="G62" s="74"/>
      <c r="H62" s="75"/>
      <c r="I62" s="75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1"/>
      <c r="Z62" s="71"/>
      <c r="AA62" s="71"/>
    </row>
    <row r="63" spans="1:27" ht="15.75" x14ac:dyDescent="0.25">
      <c r="A63" s="71"/>
      <c r="B63" s="72" t="s">
        <v>187</v>
      </c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1"/>
      <c r="Z63" s="71"/>
      <c r="AA63" s="71"/>
    </row>
    <row r="64" spans="1:27" ht="15.75" x14ac:dyDescent="0.25">
      <c r="A64" s="74"/>
      <c r="B64" s="72" t="s">
        <v>188</v>
      </c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1"/>
      <c r="Z64" s="71"/>
      <c r="AA64" s="71"/>
    </row>
    <row r="65" spans="1:27" ht="15.75" x14ac:dyDescent="0.25">
      <c r="A65" s="71"/>
      <c r="B65" s="76" t="s">
        <v>189</v>
      </c>
      <c r="C65" s="77"/>
      <c r="D65" s="77"/>
      <c r="E65" s="77"/>
      <c r="F65" s="77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1"/>
      <c r="Z65" s="71"/>
      <c r="AA65" s="71"/>
    </row>
    <row r="66" spans="1:27" ht="15.75" x14ac:dyDescent="0.25">
      <c r="A66" s="78">
        <v>1</v>
      </c>
      <c r="B66" s="166" t="s">
        <v>190</v>
      </c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6"/>
      <c r="W66" s="79"/>
      <c r="X66" s="72"/>
      <c r="Y66" s="71"/>
      <c r="Z66" s="71"/>
      <c r="AA66" s="71"/>
    </row>
    <row r="67" spans="1:27" ht="15.75" x14ac:dyDescent="0.25">
      <c r="A67" s="78"/>
      <c r="B67" s="80" t="s">
        <v>191</v>
      </c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2"/>
      <c r="Y67" s="71"/>
      <c r="Z67" s="71"/>
      <c r="AA67" s="71"/>
    </row>
    <row r="68" spans="1:27" ht="15.75" x14ac:dyDescent="0.25">
      <c r="A68" s="78"/>
      <c r="B68" s="81" t="s">
        <v>192</v>
      </c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2"/>
      <c r="Y68" s="71"/>
      <c r="Z68" s="71"/>
      <c r="AA68" s="71"/>
    </row>
    <row r="69" spans="1:27" ht="15.75" x14ac:dyDescent="0.25">
      <c r="A69" s="78"/>
      <c r="B69" s="72" t="s">
        <v>193</v>
      </c>
      <c r="C69" s="83"/>
      <c r="D69" s="83"/>
      <c r="E69" s="83"/>
      <c r="F69" s="83"/>
      <c r="G69" s="83"/>
      <c r="H69" s="83"/>
      <c r="I69" s="83"/>
      <c r="J69" s="83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2"/>
      <c r="Y69" s="71"/>
      <c r="Z69" s="71"/>
      <c r="AA69" s="71"/>
    </row>
    <row r="70" spans="1:27" ht="15.75" x14ac:dyDescent="0.25">
      <c r="A70" s="78"/>
      <c r="B70" s="76" t="s">
        <v>194</v>
      </c>
      <c r="C70" s="83"/>
      <c r="D70" s="83"/>
      <c r="E70" s="83"/>
      <c r="F70" s="83"/>
      <c r="G70" s="83"/>
      <c r="H70" s="83"/>
      <c r="I70" s="83"/>
      <c r="J70" s="83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2"/>
      <c r="Y70" s="71"/>
      <c r="Z70" s="71"/>
      <c r="AA70" s="71"/>
    </row>
    <row r="71" spans="1:27" ht="15.75" x14ac:dyDescent="0.25">
      <c r="A71" s="78"/>
      <c r="B71" s="76" t="s">
        <v>195</v>
      </c>
      <c r="C71" s="83"/>
      <c r="D71" s="83"/>
      <c r="E71" s="83"/>
      <c r="F71" s="83"/>
      <c r="G71" s="83"/>
      <c r="H71" s="83"/>
      <c r="I71" s="83"/>
      <c r="J71" s="83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2"/>
      <c r="Y71" s="71"/>
      <c r="Z71" s="71"/>
      <c r="AA71" s="71"/>
    </row>
    <row r="72" spans="1:27" ht="15.75" x14ac:dyDescent="0.25">
      <c r="A72" s="78"/>
      <c r="B72" s="81" t="s">
        <v>196</v>
      </c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2"/>
      <c r="Y72" s="71"/>
      <c r="Z72" s="71"/>
      <c r="AA72" s="71"/>
    </row>
    <row r="73" spans="1:27" ht="15.75" x14ac:dyDescent="0.25">
      <c r="A73" s="74"/>
      <c r="B73" s="72" t="s">
        <v>197</v>
      </c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72"/>
      <c r="Y73" s="71"/>
      <c r="Z73" s="71"/>
      <c r="AA73" s="71"/>
    </row>
    <row r="74" spans="1:27" ht="15.75" x14ac:dyDescent="0.25">
      <c r="A74" s="74"/>
      <c r="B74" s="72" t="s">
        <v>198</v>
      </c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72"/>
      <c r="Y74" s="71"/>
      <c r="Z74" s="71"/>
      <c r="AA74" s="71"/>
    </row>
    <row r="75" spans="1:27" ht="15.75" x14ac:dyDescent="0.25">
      <c r="A75" s="74"/>
      <c r="B75" s="166" t="s">
        <v>199</v>
      </c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  <c r="N75" s="166"/>
      <c r="O75" s="166"/>
      <c r="P75" s="166"/>
      <c r="Q75" s="166"/>
      <c r="R75" s="166"/>
      <c r="S75" s="166"/>
      <c r="T75" s="166"/>
      <c r="U75" s="166"/>
      <c r="V75" s="166"/>
      <c r="W75" s="79"/>
      <c r="X75" s="72"/>
      <c r="Y75" s="71"/>
      <c r="Z75" s="71"/>
      <c r="AA75" s="71"/>
    </row>
    <row r="76" spans="1:27" ht="15.75" x14ac:dyDescent="0.25">
      <c r="A76" s="74"/>
      <c r="B76" s="81" t="s">
        <v>200</v>
      </c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2"/>
      <c r="Y76" s="71"/>
      <c r="Z76" s="71"/>
      <c r="AA76" s="71"/>
    </row>
    <row r="77" spans="1:27" ht="15.75" x14ac:dyDescent="0.25">
      <c r="A77" s="74"/>
      <c r="B77" s="81" t="s">
        <v>201</v>
      </c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2"/>
      <c r="Y77" s="71"/>
      <c r="Z77" s="71"/>
      <c r="AA77" s="71"/>
    </row>
    <row r="78" spans="1:27" ht="15.75" x14ac:dyDescent="0.25">
      <c r="A78" s="74"/>
      <c r="B78" s="176" t="s">
        <v>202</v>
      </c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83"/>
      <c r="X78" s="72"/>
      <c r="Y78" s="71"/>
      <c r="Z78" s="71"/>
      <c r="AA78" s="71"/>
    </row>
    <row r="79" spans="1:27" ht="15.75" x14ac:dyDescent="0.25">
      <c r="A79" s="74"/>
      <c r="B79" s="84" t="s">
        <v>203</v>
      </c>
      <c r="C79" s="84"/>
      <c r="D79" s="84"/>
      <c r="E79" s="84"/>
      <c r="F79" s="84"/>
      <c r="G79" s="84"/>
      <c r="H79" s="84"/>
      <c r="I79" s="84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71"/>
      <c r="Z79" s="71"/>
      <c r="AA79" s="71"/>
    </row>
    <row r="80" spans="1:27" ht="15.75" x14ac:dyDescent="0.25">
      <c r="A80" s="78">
        <v>2</v>
      </c>
      <c r="B80" s="72" t="s">
        <v>204</v>
      </c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1"/>
      <c r="Z80" s="71"/>
      <c r="AA80" s="71"/>
    </row>
    <row r="81" spans="1:27" ht="15.75" x14ac:dyDescent="0.25">
      <c r="A81" s="78">
        <v>3</v>
      </c>
      <c r="B81" s="72" t="s">
        <v>205</v>
      </c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1"/>
      <c r="Z81" s="71"/>
      <c r="AA81" s="71"/>
    </row>
    <row r="82" spans="1:27" ht="15.75" x14ac:dyDescent="0.25">
      <c r="A82" s="78">
        <v>4</v>
      </c>
      <c r="B82" s="72" t="s">
        <v>206</v>
      </c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1"/>
      <c r="Z82" s="71"/>
      <c r="AA82" s="71"/>
    </row>
    <row r="83" spans="1:27" ht="15.75" x14ac:dyDescent="0.25">
      <c r="A83" s="78">
        <v>5</v>
      </c>
      <c r="B83" s="166" t="s">
        <v>207</v>
      </c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  <c r="N83" s="166"/>
      <c r="O83" s="166"/>
      <c r="P83" s="166"/>
      <c r="Q83" s="166"/>
      <c r="R83" s="166"/>
      <c r="S83" s="166"/>
      <c r="T83" s="166"/>
      <c r="U83" s="166"/>
      <c r="V83" s="166"/>
      <c r="W83" s="166"/>
      <c r="X83" s="166"/>
      <c r="Y83" s="71"/>
      <c r="Z83" s="71"/>
      <c r="AA83" s="71"/>
    </row>
    <row r="84" spans="1:27" ht="15.75" x14ac:dyDescent="0.2">
      <c r="A84" s="78">
        <v>6</v>
      </c>
      <c r="B84" s="167" t="s">
        <v>208</v>
      </c>
      <c r="C84" s="167"/>
      <c r="D84" s="167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71"/>
      <c r="Z84" s="71"/>
      <c r="AA84" s="71"/>
    </row>
    <row r="85" spans="1:27" ht="15.75" x14ac:dyDescent="0.25">
      <c r="A85" s="78">
        <v>7</v>
      </c>
      <c r="B85" s="72" t="s">
        <v>209</v>
      </c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1"/>
      <c r="Z85" s="71"/>
      <c r="AA85" s="71"/>
    </row>
    <row r="86" spans="1:27" ht="15.75" x14ac:dyDescent="0.25">
      <c r="A86" s="78">
        <v>8</v>
      </c>
      <c r="B86" s="72" t="s">
        <v>210</v>
      </c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1"/>
      <c r="Z86" s="71"/>
      <c r="AA86" s="71"/>
    </row>
    <row r="87" spans="1:27" ht="15.75" x14ac:dyDescent="0.2">
      <c r="A87" s="78">
        <v>9</v>
      </c>
      <c r="B87" s="167" t="s">
        <v>211</v>
      </c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</row>
    <row r="88" spans="1:27" ht="15.75" x14ac:dyDescent="0.25">
      <c r="A88" s="78">
        <v>10</v>
      </c>
      <c r="B88" s="166" t="s">
        <v>212</v>
      </c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1"/>
      <c r="Z88" s="71"/>
      <c r="AA88" s="71"/>
    </row>
    <row r="89" spans="1:27" ht="15.75" x14ac:dyDescent="0.25">
      <c r="A89" s="78"/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1"/>
      <c r="Z89" s="71"/>
      <c r="AA89" s="71"/>
    </row>
    <row r="90" spans="1:27" ht="15.75" x14ac:dyDescent="0.25">
      <c r="A90" s="78">
        <v>11</v>
      </c>
      <c r="B90" s="166" t="s">
        <v>213</v>
      </c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1"/>
      <c r="Z90" s="71"/>
      <c r="AA90" s="71"/>
    </row>
    <row r="91" spans="1:27" ht="15.75" x14ac:dyDescent="0.25">
      <c r="A91" s="78">
        <v>12</v>
      </c>
      <c r="B91" s="166" t="s">
        <v>214</v>
      </c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6"/>
      <c r="Q91" s="166"/>
      <c r="R91" s="166"/>
      <c r="S91" s="166"/>
      <c r="T91" s="166"/>
      <c r="U91" s="166"/>
      <c r="V91" s="166"/>
      <c r="W91" s="166"/>
      <c r="X91" s="166"/>
      <c r="Y91" s="71"/>
      <c r="Z91" s="71"/>
      <c r="AA91" s="71"/>
    </row>
    <row r="92" spans="1:27" ht="15.75" x14ac:dyDescent="0.25">
      <c r="A92" s="78">
        <v>13</v>
      </c>
      <c r="B92" s="72" t="s">
        <v>215</v>
      </c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1"/>
      <c r="Z92" s="71"/>
      <c r="AA92" s="71"/>
    </row>
    <row r="93" spans="1:27" ht="15.75" x14ac:dyDescent="0.25">
      <c r="A93" s="78">
        <v>14</v>
      </c>
      <c r="B93" s="72" t="s">
        <v>216</v>
      </c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1"/>
      <c r="Z93" s="71"/>
      <c r="AA93" s="71"/>
    </row>
    <row r="94" spans="1:27" ht="15.75" x14ac:dyDescent="0.25">
      <c r="A94" s="78">
        <v>15</v>
      </c>
      <c r="B94" s="72" t="s">
        <v>217</v>
      </c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1"/>
      <c r="Z94" s="71"/>
      <c r="AA94" s="71"/>
    </row>
    <row r="95" spans="1:27" ht="15.75" x14ac:dyDescent="0.25">
      <c r="A95" s="78">
        <v>16.170000000000002</v>
      </c>
      <c r="B95" s="72" t="s">
        <v>218</v>
      </c>
      <c r="C95" s="72"/>
      <c r="D95" s="72"/>
      <c r="E95" s="72"/>
      <c r="F95" s="72"/>
      <c r="G95" s="72"/>
      <c r="H95" s="72"/>
      <c r="I95" s="72"/>
      <c r="J95" s="72"/>
      <c r="K95" s="79"/>
      <c r="L95" s="79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1"/>
      <c r="Z95" s="71"/>
      <c r="AA95" s="71"/>
    </row>
    <row r="96" spans="1:27" ht="15.75" x14ac:dyDescent="0.25">
      <c r="A96" s="78">
        <v>18</v>
      </c>
      <c r="B96" s="166" t="s">
        <v>219</v>
      </c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6"/>
      <c r="Q96" s="166"/>
      <c r="R96" s="166"/>
      <c r="S96" s="166"/>
      <c r="T96" s="166"/>
      <c r="U96" s="166"/>
      <c r="V96" s="166"/>
      <c r="W96" s="166"/>
      <c r="X96" s="166"/>
      <c r="Y96" s="166"/>
      <c r="Z96" s="166"/>
      <c r="AA96" s="166"/>
    </row>
    <row r="97" spans="1:27" ht="15.75" x14ac:dyDescent="0.25">
      <c r="A97" s="78">
        <v>19</v>
      </c>
      <c r="B97" s="166" t="s">
        <v>220</v>
      </c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6"/>
      <c r="Q97" s="166"/>
      <c r="R97" s="166"/>
      <c r="S97" s="166"/>
      <c r="T97" s="166"/>
      <c r="U97" s="166"/>
      <c r="V97" s="166"/>
      <c r="W97" s="166"/>
      <c r="X97" s="166"/>
      <c r="Y97" s="71"/>
      <c r="Z97" s="71"/>
      <c r="AA97" s="71"/>
    </row>
    <row r="98" spans="1:27" ht="15.75" x14ac:dyDescent="0.25">
      <c r="A98" s="78">
        <v>20</v>
      </c>
      <c r="B98" s="72" t="s">
        <v>221</v>
      </c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1"/>
      <c r="Z98" s="71"/>
      <c r="AA98" s="71"/>
    </row>
  </sheetData>
  <mergeCells count="32">
    <mergeCell ref="U2:X2"/>
    <mergeCell ref="T3:X3"/>
    <mergeCell ref="Q4:X4"/>
    <mergeCell ref="Q5:X5"/>
    <mergeCell ref="U6:X6"/>
    <mergeCell ref="F7:L7"/>
    <mergeCell ref="A10:A12"/>
    <mergeCell ref="B10:B12"/>
    <mergeCell ref="C10:C12"/>
    <mergeCell ref="D10:D12"/>
    <mergeCell ref="E10:E12"/>
    <mergeCell ref="F10:F12"/>
    <mergeCell ref="G10:G12"/>
    <mergeCell ref="H10:H12"/>
    <mergeCell ref="I10:I12"/>
    <mergeCell ref="B87:AA87"/>
    <mergeCell ref="J10:J12"/>
    <mergeCell ref="K10:K12"/>
    <mergeCell ref="L10:L12"/>
    <mergeCell ref="M10:M12"/>
    <mergeCell ref="N10:R11"/>
    <mergeCell ref="N13:R13"/>
    <mergeCell ref="B66:V66"/>
    <mergeCell ref="B75:V75"/>
    <mergeCell ref="B78:V78"/>
    <mergeCell ref="B83:X83"/>
    <mergeCell ref="B84:X84"/>
    <mergeCell ref="B88:L89"/>
    <mergeCell ref="B90:L90"/>
    <mergeCell ref="B91:X91"/>
    <mergeCell ref="B96:AA96"/>
    <mergeCell ref="B97:X9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ПДЗ</vt:lpstr>
      <vt:lpstr>Лист1</vt:lpstr>
      <vt:lpstr>ПДЗ!Заголовки_для_печати</vt:lpstr>
      <vt:lpstr>ПДЗ!Область_печати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Kim_T</dc:creator>
  <cp:lastModifiedBy>Гульнара Бейсенова</cp:lastModifiedBy>
  <cp:lastPrinted>2016-10-28T09:52:26Z</cp:lastPrinted>
  <dcterms:created xsi:type="dcterms:W3CDTF">2013-05-08T09:24:30Z</dcterms:created>
  <dcterms:modified xsi:type="dcterms:W3CDTF">2016-11-02T12:29:32Z</dcterms:modified>
</cp:coreProperties>
</file>